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ФИНАНСОВАЯ КОМПАНИЯ\ДОП РАБОТА\ВЕБСАЙТ\"/>
    </mc:Choice>
  </mc:AlternateContent>
  <xr:revisionPtr revIDLastSave="0" documentId="13_ncr:1_{B60ED790-3A51-48EB-9D41-5E3B0A8EDC47}" xr6:coauthVersionLast="47" xr6:coauthVersionMax="47" xr10:uidLastSave="{00000000-0000-0000-0000-000000000000}"/>
  <bookViews>
    <workbookView xWindow="-108" yWindow="-108" windowWidth="23256" windowHeight="12576" xr2:uid="{214634EB-9D25-447C-9E92-DD81B46E76D2}"/>
  </bookViews>
  <sheets>
    <sheet name="АНУІТ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8" i="1" s="1"/>
  <c r="H79" i="1"/>
  <c r="I79" i="1"/>
  <c r="J79" i="1"/>
  <c r="L79" i="1"/>
  <c r="M79" i="1"/>
  <c r="O79" i="1"/>
  <c r="N18" i="1" l="1"/>
  <c r="F18" i="1" l="1"/>
  <c r="E18" i="1" l="1"/>
  <c r="D17" i="1"/>
  <c r="C77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28" i="1"/>
  <c r="C29" i="1"/>
  <c r="C30" i="1"/>
  <c r="C31" i="1"/>
  <c r="C19" i="1"/>
  <c r="C20" i="1"/>
  <c r="C21" i="1"/>
  <c r="C22" i="1"/>
  <c r="C23" i="1"/>
  <c r="C24" i="1"/>
  <c r="C25" i="1"/>
  <c r="C26" i="1"/>
  <c r="C27" i="1"/>
  <c r="F19" i="1" l="1"/>
  <c r="E19" i="1" s="1"/>
  <c r="K18" i="1"/>
  <c r="G79" i="1"/>
  <c r="C79" i="1"/>
  <c r="F20" i="1" l="1"/>
  <c r="E20" i="1" s="1"/>
  <c r="K20" i="1" s="1"/>
  <c r="D20" i="1" s="1"/>
  <c r="K19" i="1"/>
  <c r="D19" i="1" s="1"/>
  <c r="F21" i="1" l="1"/>
  <c r="E21" i="1" s="1"/>
  <c r="K21" i="1" l="1"/>
  <c r="D21" i="1" s="1"/>
  <c r="F22" i="1"/>
  <c r="E22" i="1" l="1"/>
  <c r="F23" i="1" l="1"/>
  <c r="E23" i="1" s="1"/>
  <c r="K22" i="1"/>
  <c r="F24" i="1" l="1"/>
  <c r="E24" i="1" s="1"/>
  <c r="D22" i="1"/>
  <c r="K23" i="1"/>
  <c r="D23" i="1" s="1"/>
  <c r="D18" i="1"/>
  <c r="K24" i="1" l="1"/>
  <c r="D24" i="1" s="1"/>
  <c r="F25" i="1"/>
  <c r="E25" i="1" s="1"/>
  <c r="F26" i="1" l="1"/>
  <c r="E26" i="1" s="1"/>
  <c r="K25" i="1"/>
  <c r="D25" i="1" s="1"/>
  <c r="K26" i="1" l="1"/>
  <c r="D26" i="1" s="1"/>
  <c r="F27" i="1"/>
  <c r="E27" i="1" s="1"/>
  <c r="F28" i="1" l="1"/>
  <c r="E28" i="1" s="1"/>
  <c r="F29" i="1" s="1"/>
  <c r="E29" i="1" s="1"/>
  <c r="K27" i="1"/>
  <c r="D27" i="1" s="1"/>
  <c r="K29" i="1" l="1"/>
  <c r="D29" i="1" s="1"/>
  <c r="K28" i="1"/>
  <c r="D28" i="1" s="1"/>
  <c r="F30" i="1"/>
  <c r="E30" i="1" s="1"/>
  <c r="F31" i="1" l="1"/>
  <c r="E31" i="1" s="1"/>
  <c r="K31" i="1" l="1"/>
  <c r="D31" i="1" s="1"/>
  <c r="F32" i="1"/>
  <c r="E32" i="1" s="1"/>
  <c r="K32" i="1" l="1"/>
  <c r="D32" i="1" s="1"/>
  <c r="F33" i="1"/>
  <c r="E33" i="1" s="1"/>
  <c r="K33" i="1" l="1"/>
  <c r="D33" i="1" s="1"/>
  <c r="F34" i="1"/>
  <c r="E34" i="1" s="1"/>
  <c r="F35" i="1" l="1"/>
  <c r="E35" i="1" s="1"/>
  <c r="K34" i="1"/>
  <c r="D34" i="1" s="1"/>
  <c r="K35" i="1" l="1"/>
  <c r="D35" i="1" s="1"/>
  <c r="F36" i="1"/>
  <c r="E36" i="1" s="1"/>
  <c r="K36" i="1" l="1"/>
  <c r="D36" i="1" s="1"/>
  <c r="F37" i="1"/>
  <c r="E37" i="1" s="1"/>
  <c r="F38" i="1" l="1"/>
  <c r="E38" i="1" s="1"/>
  <c r="K37" i="1"/>
  <c r="D37" i="1" s="1"/>
  <c r="K38" i="1" l="1"/>
  <c r="D38" i="1" s="1"/>
  <c r="F39" i="1"/>
  <c r="E39" i="1" s="1"/>
  <c r="K39" i="1" l="1"/>
  <c r="D39" i="1" s="1"/>
  <c r="F40" i="1"/>
  <c r="E40" i="1" s="1"/>
  <c r="F41" i="1" l="1"/>
  <c r="E41" i="1" s="1"/>
  <c r="K40" i="1"/>
  <c r="D40" i="1" s="1"/>
  <c r="K41" i="1" l="1"/>
  <c r="D41" i="1" s="1"/>
  <c r="F42" i="1"/>
  <c r="E42" i="1" s="1"/>
  <c r="F43" i="1" l="1"/>
  <c r="E43" i="1" s="1"/>
  <c r="K43" i="1" l="1"/>
  <c r="D43" i="1" s="1"/>
  <c r="F44" i="1"/>
  <c r="E44" i="1" s="1"/>
  <c r="F45" i="1" l="1"/>
  <c r="K44" i="1"/>
  <c r="D44" i="1" s="1"/>
  <c r="E45" i="1" l="1"/>
  <c r="F46" i="1" l="1"/>
  <c r="E46" i="1" s="1"/>
  <c r="F47" i="1" s="1"/>
  <c r="E47" i="1" s="1"/>
  <c r="K45" i="1"/>
  <c r="D45" i="1" s="1"/>
  <c r="K47" i="1" l="1"/>
  <c r="D47" i="1" s="1"/>
  <c r="K46" i="1"/>
  <c r="D46" i="1" s="1"/>
  <c r="F48" i="1"/>
  <c r="E48" i="1" s="1"/>
  <c r="K48" i="1" l="1"/>
  <c r="D48" i="1" s="1"/>
  <c r="F49" i="1"/>
  <c r="E49" i="1" s="1"/>
  <c r="K49" i="1" l="1"/>
  <c r="D49" i="1" s="1"/>
  <c r="F50" i="1"/>
  <c r="E50" i="1" s="1"/>
  <c r="K50" i="1" l="1"/>
  <c r="D50" i="1" s="1"/>
  <c r="F51" i="1"/>
  <c r="E51" i="1" s="1"/>
  <c r="F52" i="1" l="1"/>
  <c r="K51" i="1"/>
  <c r="E52" i="1"/>
  <c r="D51" i="1"/>
  <c r="K52" i="1" l="1"/>
  <c r="D52" i="1" s="1"/>
  <c r="F53" i="1"/>
  <c r="E53" i="1" s="1"/>
  <c r="K53" i="1" l="1"/>
  <c r="D53" i="1" s="1"/>
  <c r="F54" i="1"/>
  <c r="E54" i="1" s="1"/>
  <c r="F55" i="1" l="1"/>
  <c r="E55" i="1" s="1"/>
  <c r="K55" i="1" s="1"/>
  <c r="F56" i="1" l="1"/>
  <c r="E56" i="1" s="1"/>
  <c r="K56" i="1" s="1"/>
  <c r="D55" i="1"/>
  <c r="F57" i="1" l="1"/>
  <c r="E57" i="1" s="1"/>
  <c r="F58" i="1" s="1"/>
  <c r="E58" i="1" s="1"/>
  <c r="D56" i="1"/>
  <c r="K57" i="1" l="1"/>
  <c r="D57" i="1" s="1"/>
  <c r="K58" i="1"/>
  <c r="D58" i="1" s="1"/>
  <c r="F59" i="1"/>
  <c r="E59" i="1" s="1"/>
  <c r="K59" i="1" l="1"/>
  <c r="D59" i="1" s="1"/>
  <c r="F60" i="1"/>
  <c r="E60" i="1" s="1"/>
  <c r="K60" i="1" l="1"/>
  <c r="D60" i="1" s="1"/>
  <c r="F61" i="1"/>
  <c r="E61" i="1" s="1"/>
  <c r="K61" i="1" l="1"/>
  <c r="D61" i="1" s="1"/>
  <c r="F62" i="1"/>
  <c r="E62" i="1" s="1"/>
  <c r="K62" i="1" l="1"/>
  <c r="D62" i="1" s="1"/>
  <c r="F63" i="1"/>
  <c r="E63" i="1" s="1"/>
  <c r="K63" i="1" l="1"/>
  <c r="D63" i="1" s="1"/>
  <c r="F64" i="1"/>
  <c r="E64" i="1" s="1"/>
  <c r="K64" i="1" l="1"/>
  <c r="D64" i="1" s="1"/>
  <c r="F65" i="1"/>
  <c r="E65" i="1" s="1"/>
  <c r="K65" i="1" l="1"/>
  <c r="D65" i="1" s="1"/>
  <c r="F66" i="1"/>
  <c r="E66" i="1" s="1"/>
  <c r="F67" i="1" l="1"/>
  <c r="E67" i="1" s="1"/>
  <c r="K67" i="1" l="1"/>
  <c r="D67" i="1" s="1"/>
  <c r="F68" i="1"/>
  <c r="E68" i="1" s="1"/>
  <c r="K68" i="1" l="1"/>
  <c r="D68" i="1" s="1"/>
  <c r="F69" i="1"/>
  <c r="E69" i="1" s="1"/>
  <c r="F70" i="1" l="1"/>
  <c r="E70" i="1" s="1"/>
  <c r="K70" i="1" s="1"/>
  <c r="D70" i="1" s="1"/>
  <c r="K69" i="1"/>
  <c r="D69" i="1" s="1"/>
  <c r="F71" i="1" l="1"/>
  <c r="E71" i="1"/>
  <c r="K71" i="1" l="1"/>
  <c r="D71" i="1" s="1"/>
  <c r="F72" i="1"/>
  <c r="E72" i="1" s="1"/>
  <c r="K72" i="1" s="1"/>
  <c r="D72" i="1" s="1"/>
  <c r="F73" i="1" l="1"/>
  <c r="E73" i="1" s="1"/>
  <c r="K73" i="1" s="1"/>
  <c r="D73" i="1" s="1"/>
  <c r="F74" i="1" l="1"/>
  <c r="E74" i="1" s="1"/>
  <c r="K74" i="1" s="1"/>
  <c r="D74" i="1" s="1"/>
  <c r="F75" i="1" l="1"/>
  <c r="E75" i="1" s="1"/>
  <c r="K75" i="1" s="1"/>
  <c r="D75" i="1" s="1"/>
  <c r="F76" i="1" l="1"/>
  <c r="E76" i="1" s="1"/>
  <c r="F77" i="1" s="1"/>
  <c r="F79" i="1" l="1"/>
  <c r="E77" i="1"/>
  <c r="K77" i="1" s="1"/>
  <c r="D77" i="1" s="1"/>
  <c r="K76" i="1"/>
  <c r="D76" i="1" s="1"/>
  <c r="N30" i="1"/>
  <c r="N66" i="1" l="1"/>
  <c r="K66" i="1" s="1"/>
  <c r="D66" i="1" s="1"/>
  <c r="N54" i="1"/>
  <c r="K54" i="1" s="1"/>
  <c r="D54" i="1" s="1"/>
  <c r="N42" i="1"/>
  <c r="K42" i="1" s="1"/>
  <c r="D42" i="1" s="1"/>
  <c r="E79" i="1"/>
  <c r="K30" i="1"/>
  <c r="D30" i="1" s="1"/>
  <c r="N79" i="1" l="1"/>
  <c r="P79" i="1"/>
  <c r="H10" i="1" s="1"/>
  <c r="K79" i="1"/>
  <c r="Q79" i="1" s="1"/>
  <c r="H6" i="1" s="1"/>
  <c r="H8" i="1" s="1"/>
</calcChain>
</file>

<file path=xl/sharedStrings.xml><?xml version="1.0" encoding="utf-8"?>
<sst xmlns="http://schemas.openxmlformats.org/spreadsheetml/2006/main" count="166" uniqueCount="29">
  <si>
    <t>Кількість днів у розрахунковому періоді</t>
  </si>
  <si>
    <t>Види платежів за кредитом</t>
  </si>
  <si>
    <t>кредитодавця</t>
  </si>
  <si>
    <t>кредитного посередника</t>
  </si>
  <si>
    <t>третіх осіб</t>
  </si>
  <si>
    <t>комісійний збір</t>
  </si>
  <si>
    <t>за розрахунково-касове обслуговування</t>
  </si>
  <si>
    <t>послуги нотаріуса</t>
  </si>
  <si>
    <t>послуги оцінювача</t>
  </si>
  <si>
    <t>послуги страховика</t>
  </si>
  <si>
    <t>Реальна річна процентна ставка, %</t>
  </si>
  <si>
    <t>Загальна вартість кредиту, грн</t>
  </si>
  <si>
    <t>Х</t>
  </si>
  <si>
    <t>(введіть значення)</t>
  </si>
  <si>
    <t>УВАГА !  ЗАПОВНИТИ ЧЕРВОНІ КЛІТИНИ !</t>
  </si>
  <si>
    <t>Відсотки за договором, річних</t>
  </si>
  <si>
    <t>інші послуги</t>
  </si>
  <si>
    <t>УСЬОГО</t>
  </si>
  <si>
    <t>Загальна вартість угоди</t>
  </si>
  <si>
    <t>Загальні витрати</t>
  </si>
  <si>
    <t>Реальна річна процентна ставка</t>
  </si>
  <si>
    <t>ЗАГАЛЬНА ІНФОРМАЦІЯ ПРО ЛІЗИНГОВІ ПЛАТЕЖІ</t>
  </si>
  <si>
    <t>Вартість предмету лізингу</t>
  </si>
  <si>
    <t>Строк лізингу, місяців</t>
  </si>
  <si>
    <t>Дата видачі лізингу / 
дата платежу</t>
  </si>
  <si>
    <t>Чиста сума лізингу / 
сума платежу за розрахунковий період, грн</t>
  </si>
  <si>
    <t>погашення суми лізингу</t>
  </si>
  <si>
    <t>проценти за користування лізингом</t>
  </si>
  <si>
    <t>комісія за надання лізингу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</si>
</sst>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UAH]"/>
  </numFmts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5"/>
      <color rgb="FFFF0000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4" fillId="3" borderId="0" xfId="0" applyNumberFormat="1" applyFont="1" applyFill="1" applyProtection="1">
      <protection locked="0"/>
    </xf>
    <xf numFmtId="0" fontId="6" fillId="0" borderId="0" xfId="0" applyFont="1" applyProtection="1">
      <protection locked="0"/>
    </xf>
    <xf numFmtId="4" fontId="7" fillId="4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3" borderId="0" xfId="0" applyFont="1" applyFill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0" fontId="4" fillId="5" borderId="0" xfId="0" applyNumberFormat="1" applyFont="1" applyFill="1" applyProtection="1">
      <protection hidden="1"/>
    </xf>
    <xf numFmtId="164" fontId="4" fillId="5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14" fontId="0" fillId="0" borderId="5" xfId="0" applyNumberForma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14" fontId="0" fillId="0" borderId="6" xfId="0" applyNumberFormat="1" applyBorder="1" applyAlignment="1" applyProtection="1">
      <alignment horizontal="center" vertical="center"/>
      <protection hidden="1"/>
    </xf>
    <xf numFmtId="4" fontId="0" fillId="0" borderId="9" xfId="0" applyNumberFormat="1" applyBorder="1" applyAlignment="1" applyProtection="1">
      <alignment horizontal="center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 applyProtection="1">
      <alignment horizontal="center" vertical="center"/>
      <protection hidden="1"/>
    </xf>
    <xf numFmtId="14" fontId="1" fillId="5" borderId="2" xfId="0" applyNumberFormat="1" applyFont="1" applyFill="1" applyBorder="1" applyAlignment="1" applyProtection="1">
      <alignment horizontal="center" vertical="center"/>
      <protection hidden="1"/>
    </xf>
    <xf numFmtId="1" fontId="1" fillId="5" borderId="3" xfId="0" applyNumberFormat="1" applyFont="1" applyFill="1" applyBorder="1" applyAlignment="1" applyProtection="1">
      <alignment horizontal="center" vertical="center"/>
      <protection hidden="1"/>
    </xf>
    <xf numFmtId="4" fontId="1" fillId="5" borderId="3" xfId="0" applyNumberFormat="1" applyFont="1" applyFill="1" applyBorder="1" applyAlignment="1" applyProtection="1">
      <alignment horizontal="center" vertical="center"/>
      <protection hidden="1"/>
    </xf>
    <xf numFmtId="10" fontId="1" fillId="5" borderId="3" xfId="0" applyNumberFormat="1" applyFont="1" applyFill="1" applyBorder="1" applyAlignment="1" applyProtection="1">
      <alignment horizontal="center" vertical="center"/>
      <protection hidden="1"/>
    </xf>
    <xf numFmtId="4" fontId="1" fillId="5" borderId="4" xfId="0" applyNumberFormat="1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509-C596-47BB-B4E4-E2920566D153}">
  <sheetPr>
    <pageSetUpPr fitToPage="1"/>
  </sheetPr>
  <dimension ref="B1:Q82"/>
  <sheetViews>
    <sheetView tabSelected="1" zoomScale="60" zoomScaleNormal="60" workbookViewId="0">
      <pane ySplit="16" topLeftCell="A17" activePane="bottomLeft" state="frozen"/>
      <selection pane="bottomLeft" activeCell="D9" sqref="D9"/>
    </sheetView>
  </sheetViews>
  <sheetFormatPr defaultColWidth="9" defaultRowHeight="15.6" x14ac:dyDescent="0.3"/>
  <cols>
    <col min="1" max="1" width="9" style="1"/>
    <col min="2" max="3" width="16.59765625" style="1" customWidth="1"/>
    <col min="4" max="4" width="22.5" style="1" customWidth="1"/>
    <col min="5" max="7" width="15.69921875" style="1" customWidth="1"/>
    <col min="8" max="8" width="22.09765625" style="1" customWidth="1"/>
    <col min="9" max="17" width="15.69921875" style="1" customWidth="1"/>
    <col min="18" max="16384" width="9" style="1"/>
  </cols>
  <sheetData>
    <row r="1" spans="2:17" ht="16.2" thickBot="1" x14ac:dyDescent="0.35"/>
    <row r="2" spans="2:17" ht="16.2" thickBot="1" x14ac:dyDescent="0.35">
      <c r="B2" s="33" t="s">
        <v>21</v>
      </c>
      <c r="C2" s="34"/>
      <c r="D2" s="34"/>
      <c r="E2" s="34"/>
      <c r="F2" s="35"/>
    </row>
    <row r="4" spans="2:17" ht="19.8" x14ac:dyDescent="0.3">
      <c r="B4" s="36" t="s">
        <v>14</v>
      </c>
      <c r="C4" s="37"/>
      <c r="D4" s="37"/>
      <c r="E4" s="2"/>
      <c r="F4" s="2"/>
    </row>
    <row r="6" spans="2:17" ht="17.100000000000001" customHeight="1" x14ac:dyDescent="0.35">
      <c r="B6" s="29" t="s">
        <v>22</v>
      </c>
      <c r="C6" s="30"/>
      <c r="D6" s="3"/>
      <c r="F6" s="31" t="s">
        <v>18</v>
      </c>
      <c r="G6" s="32"/>
      <c r="H6" s="14">
        <f>Q79</f>
        <v>0</v>
      </c>
    </row>
    <row r="7" spans="2:17" ht="17.100000000000001" customHeight="1" x14ac:dyDescent="0.35">
      <c r="B7" s="4"/>
      <c r="C7" s="5"/>
      <c r="D7" s="6" t="s">
        <v>13</v>
      </c>
      <c r="H7" s="15"/>
    </row>
    <row r="8" spans="2:17" ht="17.100000000000001" customHeight="1" x14ac:dyDescent="0.35">
      <c r="B8" s="29" t="s">
        <v>23</v>
      </c>
      <c r="C8" s="30"/>
      <c r="D8" s="7"/>
      <c r="F8" s="31" t="s">
        <v>19</v>
      </c>
      <c r="G8" s="32"/>
      <c r="H8" s="14">
        <f>H6-D6</f>
        <v>0</v>
      </c>
    </row>
    <row r="9" spans="2:17" ht="17.100000000000001" customHeight="1" x14ac:dyDescent="0.35">
      <c r="B9" s="4"/>
      <c r="C9" s="6"/>
      <c r="D9" s="6" t="s">
        <v>13</v>
      </c>
      <c r="H9" s="15"/>
    </row>
    <row r="10" spans="2:17" ht="17.100000000000001" customHeight="1" x14ac:dyDescent="0.35">
      <c r="B10" s="29" t="s">
        <v>15</v>
      </c>
      <c r="C10" s="30"/>
      <c r="D10" s="13">
        <v>0.3</v>
      </c>
      <c r="F10" s="31" t="s">
        <v>20</v>
      </c>
      <c r="G10" s="32"/>
      <c r="H10" s="13" t="e">
        <f ca="1">P79</f>
        <v>#NUM!</v>
      </c>
    </row>
    <row r="12" spans="2:17" ht="45" customHeight="1" x14ac:dyDescent="0.3">
      <c r="B12" s="39" t="s">
        <v>24</v>
      </c>
      <c r="C12" s="39" t="s">
        <v>0</v>
      </c>
      <c r="D12" s="39" t="s">
        <v>25</v>
      </c>
      <c r="E12" s="38" t="s">
        <v>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 t="s">
        <v>10</v>
      </c>
      <c r="Q12" s="38" t="s">
        <v>11</v>
      </c>
    </row>
    <row r="13" spans="2:17" x14ac:dyDescent="0.3">
      <c r="B13" s="38"/>
      <c r="C13" s="38"/>
      <c r="D13" s="38"/>
      <c r="E13" s="38" t="s">
        <v>26</v>
      </c>
      <c r="F13" s="38" t="s">
        <v>27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2:17" x14ac:dyDescent="0.3">
      <c r="B14" s="38"/>
      <c r="C14" s="38"/>
      <c r="D14" s="38"/>
      <c r="E14" s="38"/>
      <c r="F14" s="38"/>
      <c r="G14" s="38" t="s">
        <v>2</v>
      </c>
      <c r="H14" s="38"/>
      <c r="I14" s="38" t="s">
        <v>3</v>
      </c>
      <c r="J14" s="38"/>
      <c r="K14" s="38" t="s">
        <v>4</v>
      </c>
      <c r="L14" s="38"/>
      <c r="M14" s="38"/>
      <c r="N14" s="38"/>
      <c r="O14" s="38"/>
      <c r="P14" s="38"/>
      <c r="Q14" s="38"/>
    </row>
    <row r="15" spans="2:17" ht="62.4" x14ac:dyDescent="0.3">
      <c r="B15" s="38"/>
      <c r="C15" s="38"/>
      <c r="D15" s="38"/>
      <c r="E15" s="38"/>
      <c r="F15" s="38"/>
      <c r="G15" s="8" t="s">
        <v>28</v>
      </c>
      <c r="H15" s="8" t="s">
        <v>16</v>
      </c>
      <c r="I15" s="8" t="s">
        <v>5</v>
      </c>
      <c r="J15" s="8" t="s">
        <v>16</v>
      </c>
      <c r="K15" s="8" t="s">
        <v>6</v>
      </c>
      <c r="L15" s="8" t="s">
        <v>7</v>
      </c>
      <c r="M15" s="8" t="s">
        <v>8</v>
      </c>
      <c r="N15" s="8" t="s">
        <v>9</v>
      </c>
      <c r="O15" s="8" t="s">
        <v>16</v>
      </c>
      <c r="P15" s="38"/>
      <c r="Q15" s="38"/>
    </row>
    <row r="16" spans="2:17" x14ac:dyDescent="0.3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</row>
    <row r="17" spans="2:17" x14ac:dyDescent="0.3">
      <c r="B17" s="16">
        <f ca="1">TODAY()</f>
        <v>44501</v>
      </c>
      <c r="C17" s="17" t="s">
        <v>12</v>
      </c>
      <c r="D17" s="18">
        <f>-D6</f>
        <v>0</v>
      </c>
      <c r="E17" s="18" t="s">
        <v>12</v>
      </c>
      <c r="F17" s="18" t="s">
        <v>12</v>
      </c>
      <c r="G17" s="18" t="s">
        <v>12</v>
      </c>
      <c r="H17" s="18" t="s">
        <v>12</v>
      </c>
      <c r="I17" s="18" t="s">
        <v>12</v>
      </c>
      <c r="J17" s="18" t="s">
        <v>12</v>
      </c>
      <c r="K17" s="18" t="s">
        <v>12</v>
      </c>
      <c r="L17" s="18" t="s">
        <v>12</v>
      </c>
      <c r="M17" s="18" t="s">
        <v>12</v>
      </c>
      <c r="N17" s="18" t="s">
        <v>12</v>
      </c>
      <c r="O17" s="18" t="s">
        <v>12</v>
      </c>
      <c r="P17" s="18" t="s">
        <v>12</v>
      </c>
      <c r="Q17" s="19" t="s">
        <v>12</v>
      </c>
    </row>
    <row r="18" spans="2:17" x14ac:dyDescent="0.3">
      <c r="B18" s="20">
        <v>44529</v>
      </c>
      <c r="C18" s="17">
        <f ca="1">_xlfn.DAYS(B18,B17)</f>
        <v>28</v>
      </c>
      <c r="D18" s="18">
        <f>SUM(E18:O18)</f>
        <v>0</v>
      </c>
      <c r="E18" s="18">
        <f>(IF(D6=0,0,(((D6*(D10/12*(1+D10/12)^D8)/((1+D10/12)^D8-1)))-F18)))</f>
        <v>0</v>
      </c>
      <c r="F18" s="18">
        <f>IF(B18="*",0,((D6*D10/12)))</f>
        <v>0</v>
      </c>
      <c r="G18" s="18">
        <v>0</v>
      </c>
      <c r="H18" s="18">
        <v>0</v>
      </c>
      <c r="I18" s="18">
        <v>0</v>
      </c>
      <c r="J18" s="18">
        <v>0</v>
      </c>
      <c r="K18" s="18">
        <f>(E18+F18+G18+L18+M18+N18+O18)*0.01</f>
        <v>0</v>
      </c>
      <c r="L18" s="18">
        <v>0</v>
      </c>
      <c r="M18" s="18">
        <v>0</v>
      </c>
      <c r="N18" s="18">
        <f>D6*0.05</f>
        <v>0</v>
      </c>
      <c r="O18" s="18">
        <v>0</v>
      </c>
      <c r="P18" s="18" t="s">
        <v>12</v>
      </c>
      <c r="Q18" s="21" t="s">
        <v>12</v>
      </c>
    </row>
    <row r="19" spans="2:17" x14ac:dyDescent="0.3">
      <c r="B19" s="20">
        <v>44559</v>
      </c>
      <c r="C19" s="17">
        <f t="shared" ref="C19:C77" si="0">_xlfn.DAYS(B19,B18)</f>
        <v>30</v>
      </c>
      <c r="D19" s="18">
        <f t="shared" ref="D19:D77" si="1">SUM(E19:O19)</f>
        <v>0</v>
      </c>
      <c r="E19" s="18">
        <f>IF(E18&gt;=D6,0,(((D6*(D10/12*(1+D10/12)^D8)/((1+D10/12)^D8-1)))-F19))</f>
        <v>0</v>
      </c>
      <c r="F19" s="18">
        <f>IF(B19="*",0,((D6-E18)*D10/12))</f>
        <v>0</v>
      </c>
      <c r="G19" s="18">
        <v>0</v>
      </c>
      <c r="H19" s="18">
        <v>0</v>
      </c>
      <c r="I19" s="18">
        <v>0</v>
      </c>
      <c r="J19" s="18">
        <v>0</v>
      </c>
      <c r="K19" s="18">
        <f t="shared" ref="K19:K77" si="2">(E19+F19+G19+L19+M19+N19+O19)*0.01</f>
        <v>0</v>
      </c>
      <c r="L19" s="18">
        <v>0</v>
      </c>
      <c r="M19" s="18">
        <v>0</v>
      </c>
      <c r="N19" s="18">
        <v>0</v>
      </c>
      <c r="O19" s="18">
        <v>0</v>
      </c>
      <c r="P19" s="18" t="s">
        <v>12</v>
      </c>
      <c r="Q19" s="21" t="s">
        <v>12</v>
      </c>
    </row>
    <row r="20" spans="2:17" x14ac:dyDescent="0.3">
      <c r="B20" s="20">
        <v>44590</v>
      </c>
      <c r="C20" s="17">
        <f t="shared" si="0"/>
        <v>31</v>
      </c>
      <c r="D20" s="18">
        <f t="shared" si="1"/>
        <v>0</v>
      </c>
      <c r="E20" s="18">
        <f>IF(E18+E19&gt;=D6,0,(((D6*(D10/12*(1+D10/12)^D8)/((1+D10/12)^D8-1)))-F20))</f>
        <v>0</v>
      </c>
      <c r="F20" s="18">
        <f>IF(B20="*",0,((D6-E18-E19)*D10/12))</f>
        <v>0</v>
      </c>
      <c r="G20" s="18">
        <v>0</v>
      </c>
      <c r="H20" s="18">
        <v>0</v>
      </c>
      <c r="I20" s="18">
        <v>0</v>
      </c>
      <c r="J20" s="18">
        <v>0</v>
      </c>
      <c r="K20" s="18">
        <f t="shared" si="2"/>
        <v>0</v>
      </c>
      <c r="L20" s="18">
        <v>0</v>
      </c>
      <c r="M20" s="18">
        <v>0</v>
      </c>
      <c r="N20" s="18">
        <v>0</v>
      </c>
      <c r="O20" s="18">
        <v>0</v>
      </c>
      <c r="P20" s="18" t="s">
        <v>12</v>
      </c>
      <c r="Q20" s="21" t="s">
        <v>12</v>
      </c>
    </row>
    <row r="21" spans="2:17" x14ac:dyDescent="0.3">
      <c r="B21" s="20">
        <v>44620</v>
      </c>
      <c r="C21" s="17">
        <f t="shared" si="0"/>
        <v>30</v>
      </c>
      <c r="D21" s="18">
        <f t="shared" si="1"/>
        <v>0</v>
      </c>
      <c r="E21" s="18">
        <f>IF(E18+E19+E20&gt;=D6,0,(((D6*(D10/12*(1+D10/12)^D8)/((1+D10/12)^D8-1)))-F21))</f>
        <v>0</v>
      </c>
      <c r="F21" s="18">
        <f>IF(B21="*",0,((D6-E18-E19-E20)*D10/12))</f>
        <v>0</v>
      </c>
      <c r="G21" s="18">
        <v>0</v>
      </c>
      <c r="H21" s="18">
        <v>0</v>
      </c>
      <c r="I21" s="18">
        <v>0</v>
      </c>
      <c r="J21" s="18">
        <v>0</v>
      </c>
      <c r="K21" s="18">
        <f t="shared" si="2"/>
        <v>0</v>
      </c>
      <c r="L21" s="18">
        <v>0</v>
      </c>
      <c r="M21" s="18">
        <v>0</v>
      </c>
      <c r="N21" s="18">
        <v>0</v>
      </c>
      <c r="O21" s="18">
        <v>0</v>
      </c>
      <c r="P21" s="18" t="s">
        <v>12</v>
      </c>
      <c r="Q21" s="21" t="s">
        <v>12</v>
      </c>
    </row>
    <row r="22" spans="2:17" x14ac:dyDescent="0.3">
      <c r="B22" s="20">
        <v>44649</v>
      </c>
      <c r="C22" s="17">
        <f t="shared" si="0"/>
        <v>29</v>
      </c>
      <c r="D22" s="18">
        <f t="shared" si="1"/>
        <v>0</v>
      </c>
      <c r="E22" s="18">
        <f>IF(E18+E19+E20+E21&gt;=D6,0,(((D6*(D10/12*(1+D10/12)^D8)/((1+D10/12)^D8-1)))-F22))</f>
        <v>0</v>
      </c>
      <c r="F22" s="18">
        <f>IF(B22="*",0,((D6-E18-E19-E20-E21)*D10/12))</f>
        <v>0</v>
      </c>
      <c r="G22" s="18">
        <v>0</v>
      </c>
      <c r="H22" s="18">
        <v>0</v>
      </c>
      <c r="I22" s="18">
        <v>0</v>
      </c>
      <c r="J22" s="18">
        <v>0</v>
      </c>
      <c r="K22" s="18">
        <f t="shared" si="2"/>
        <v>0</v>
      </c>
      <c r="L22" s="18">
        <v>0</v>
      </c>
      <c r="M22" s="18">
        <v>0</v>
      </c>
      <c r="N22" s="18">
        <v>0</v>
      </c>
      <c r="O22" s="18">
        <v>0</v>
      </c>
      <c r="P22" s="18" t="s">
        <v>12</v>
      </c>
      <c r="Q22" s="21" t="s">
        <v>12</v>
      </c>
    </row>
    <row r="23" spans="2:17" x14ac:dyDescent="0.3">
      <c r="B23" s="20">
        <v>44680</v>
      </c>
      <c r="C23" s="17">
        <f t="shared" si="0"/>
        <v>31</v>
      </c>
      <c r="D23" s="18">
        <f t="shared" si="1"/>
        <v>0</v>
      </c>
      <c r="E23" s="18">
        <f>IF(E18+E19+E20+E21+E22&gt;=D6,0,(((D6*(D10/12*(1+D10/12)^D8)/((1+D10/12)^D8-1)))-F23))</f>
        <v>0</v>
      </c>
      <c r="F23" s="18">
        <f>IF(B23="*",0,((D6-E18-E19-E20-E21-E22)*D10/12))</f>
        <v>0</v>
      </c>
      <c r="G23" s="18">
        <v>0</v>
      </c>
      <c r="H23" s="18">
        <v>0</v>
      </c>
      <c r="I23" s="18">
        <v>0</v>
      </c>
      <c r="J23" s="18">
        <v>0</v>
      </c>
      <c r="K23" s="18">
        <f t="shared" si="2"/>
        <v>0</v>
      </c>
      <c r="L23" s="18">
        <v>0</v>
      </c>
      <c r="M23" s="18">
        <v>0</v>
      </c>
      <c r="N23" s="18">
        <v>0</v>
      </c>
      <c r="O23" s="18">
        <v>0</v>
      </c>
      <c r="P23" s="18" t="s">
        <v>12</v>
      </c>
      <c r="Q23" s="21" t="s">
        <v>12</v>
      </c>
    </row>
    <row r="24" spans="2:17" x14ac:dyDescent="0.3">
      <c r="B24" s="20">
        <v>44710</v>
      </c>
      <c r="C24" s="17">
        <f t="shared" si="0"/>
        <v>30</v>
      </c>
      <c r="D24" s="18">
        <f t="shared" si="1"/>
        <v>0</v>
      </c>
      <c r="E24" s="18">
        <f>IF(E18+E19+E20+E21+E22+E23&gt;=D6,0,(((D6*(D10/12*(1+D10/12)^D8)/((1+D10/12)^D8-1)))-F24))</f>
        <v>0</v>
      </c>
      <c r="F24" s="18">
        <f>IF(B24="*",0,((D6-E18-E19-E20-E21-E22-E23)*D10/12))</f>
        <v>0</v>
      </c>
      <c r="G24" s="18">
        <v>0</v>
      </c>
      <c r="H24" s="18">
        <v>0</v>
      </c>
      <c r="I24" s="18">
        <v>0</v>
      </c>
      <c r="J24" s="18">
        <v>0</v>
      </c>
      <c r="K24" s="18">
        <f t="shared" si="2"/>
        <v>0</v>
      </c>
      <c r="L24" s="18">
        <v>0</v>
      </c>
      <c r="M24" s="18">
        <v>0</v>
      </c>
      <c r="N24" s="18">
        <v>0</v>
      </c>
      <c r="O24" s="18">
        <v>0</v>
      </c>
      <c r="P24" s="18" t="s">
        <v>12</v>
      </c>
      <c r="Q24" s="21" t="s">
        <v>12</v>
      </c>
    </row>
    <row r="25" spans="2:17" x14ac:dyDescent="0.3">
      <c r="B25" s="20">
        <v>44741</v>
      </c>
      <c r="C25" s="17">
        <f t="shared" si="0"/>
        <v>31</v>
      </c>
      <c r="D25" s="18">
        <f t="shared" si="1"/>
        <v>0</v>
      </c>
      <c r="E25" s="18">
        <f>IF(E18+E19+E20+E21+E22+E23+E24&gt;=D6,0,(((D6*(D10/12*(1+D10/12)^D8)/((1+D10/12)^D8-1)))-F25))</f>
        <v>0</v>
      </c>
      <c r="F25" s="18">
        <f>IF(B25="*",0,((D6-E18-E19-E20-E21-E22-E23-E24)*D10/12))</f>
        <v>0</v>
      </c>
      <c r="G25" s="18">
        <v>0</v>
      </c>
      <c r="H25" s="18">
        <v>0</v>
      </c>
      <c r="I25" s="18">
        <v>0</v>
      </c>
      <c r="J25" s="18">
        <v>0</v>
      </c>
      <c r="K25" s="18">
        <f t="shared" si="2"/>
        <v>0</v>
      </c>
      <c r="L25" s="18">
        <v>0</v>
      </c>
      <c r="M25" s="18">
        <v>0</v>
      </c>
      <c r="N25" s="18">
        <v>0</v>
      </c>
      <c r="O25" s="18">
        <v>0</v>
      </c>
      <c r="P25" s="18" t="s">
        <v>12</v>
      </c>
      <c r="Q25" s="21" t="s">
        <v>12</v>
      </c>
    </row>
    <row r="26" spans="2:17" x14ac:dyDescent="0.3">
      <c r="B26" s="20">
        <v>44771</v>
      </c>
      <c r="C26" s="17">
        <f t="shared" si="0"/>
        <v>30</v>
      </c>
      <c r="D26" s="18">
        <f t="shared" si="1"/>
        <v>0</v>
      </c>
      <c r="E26" s="18">
        <f>IF(E18+E19+E20+E21+E22+E23+E24+E25&gt;=D6,0,(((D6*(D10/12*(1+D10/12)^D8)/((1+D10/12)^D8-1)))-F26))</f>
        <v>0</v>
      </c>
      <c r="F26" s="18">
        <f>IF(B26="*",0,((D6-E18-E19-E20-E21-E22-E23-E24-E25)*D10/12))</f>
        <v>0</v>
      </c>
      <c r="G26" s="18">
        <v>0</v>
      </c>
      <c r="H26" s="18">
        <v>0</v>
      </c>
      <c r="I26" s="18">
        <v>0</v>
      </c>
      <c r="J26" s="18">
        <v>0</v>
      </c>
      <c r="K26" s="18">
        <f t="shared" si="2"/>
        <v>0</v>
      </c>
      <c r="L26" s="18">
        <v>0</v>
      </c>
      <c r="M26" s="18">
        <v>0</v>
      </c>
      <c r="N26" s="18">
        <v>0</v>
      </c>
      <c r="O26" s="18">
        <v>0</v>
      </c>
      <c r="P26" s="18" t="s">
        <v>12</v>
      </c>
      <c r="Q26" s="21" t="s">
        <v>12</v>
      </c>
    </row>
    <row r="27" spans="2:17" x14ac:dyDescent="0.3">
      <c r="B27" s="20">
        <v>44802</v>
      </c>
      <c r="C27" s="17">
        <f t="shared" si="0"/>
        <v>31</v>
      </c>
      <c r="D27" s="18">
        <f t="shared" si="1"/>
        <v>0</v>
      </c>
      <c r="E27" s="18">
        <f>IF(E18+E19+E20+E21+E22+E23+E24+E25+E26&gt;=D6,0,(((D6*(D10/12*(1+D10/12)^D8)/((1+D10/12)^D8-1)))-F27))</f>
        <v>0</v>
      </c>
      <c r="F27" s="18">
        <f>IF(B27="*",0,((D6-E18-E19-E20-E21-E22-E23-E24-E25-E26)*D10/12))</f>
        <v>0</v>
      </c>
      <c r="G27" s="18">
        <v>0</v>
      </c>
      <c r="H27" s="18">
        <v>0</v>
      </c>
      <c r="I27" s="18">
        <v>0</v>
      </c>
      <c r="J27" s="18">
        <v>0</v>
      </c>
      <c r="K27" s="18">
        <f t="shared" si="2"/>
        <v>0</v>
      </c>
      <c r="L27" s="18">
        <v>0</v>
      </c>
      <c r="M27" s="18">
        <v>0</v>
      </c>
      <c r="N27" s="18">
        <v>0</v>
      </c>
      <c r="O27" s="18">
        <v>0</v>
      </c>
      <c r="P27" s="18" t="s">
        <v>12</v>
      </c>
      <c r="Q27" s="21" t="s">
        <v>12</v>
      </c>
    </row>
    <row r="28" spans="2:17" x14ac:dyDescent="0.3">
      <c r="B28" s="20">
        <v>44833</v>
      </c>
      <c r="C28" s="17">
        <f>_xlfn.DAYS(B28,B27)</f>
        <v>31</v>
      </c>
      <c r="D28" s="18">
        <f t="shared" si="1"/>
        <v>0</v>
      </c>
      <c r="E28" s="18">
        <f>IF(E18+E19+E20+E21+E22+E23+E24+E25+E26+E27&gt;=D6,0,(((D6*(D10/12*(1+D10/12)^D8)/((1+D10/12)^D8-1)))-F28))</f>
        <v>0</v>
      </c>
      <c r="F28" s="18">
        <f>((D6-E18-E19-E20-E21-E22-E23-E24-E25-E26-E27)*D10/12)</f>
        <v>0</v>
      </c>
      <c r="G28" s="18">
        <v>0</v>
      </c>
      <c r="H28" s="18">
        <v>0</v>
      </c>
      <c r="I28" s="18">
        <v>0</v>
      </c>
      <c r="J28" s="18">
        <v>0</v>
      </c>
      <c r="K28" s="18">
        <f t="shared" si="2"/>
        <v>0</v>
      </c>
      <c r="L28" s="18">
        <v>0</v>
      </c>
      <c r="M28" s="18">
        <v>0</v>
      </c>
      <c r="N28" s="18">
        <v>0</v>
      </c>
      <c r="O28" s="18">
        <v>0</v>
      </c>
      <c r="P28" s="18" t="s">
        <v>12</v>
      </c>
      <c r="Q28" s="21" t="s">
        <v>12</v>
      </c>
    </row>
    <row r="29" spans="2:17" x14ac:dyDescent="0.3">
      <c r="B29" s="20">
        <v>44863</v>
      </c>
      <c r="C29" s="17">
        <f t="shared" si="0"/>
        <v>30</v>
      </c>
      <c r="D29" s="18">
        <f t="shared" si="1"/>
        <v>0</v>
      </c>
      <c r="E29" s="18">
        <f>IF(E18+E19+E20+E21+E22+E23+E24+E25+E26+E27+E28&gt;=D6,0,(((D6*(D10/12*(1+D10/12)^D8)/((1+D10/12)^D8-1)))-F29))</f>
        <v>0</v>
      </c>
      <c r="F29" s="18">
        <f>((D6-E18-E19-E20-E21-E22-E23-E24-E25-E26-E27-E28)*D10/12)</f>
        <v>0</v>
      </c>
      <c r="G29" s="18">
        <v>0</v>
      </c>
      <c r="H29" s="18">
        <v>0</v>
      </c>
      <c r="I29" s="18">
        <v>0</v>
      </c>
      <c r="J29" s="18">
        <v>0</v>
      </c>
      <c r="K29" s="18">
        <f t="shared" si="2"/>
        <v>0</v>
      </c>
      <c r="L29" s="18">
        <v>0</v>
      </c>
      <c r="M29" s="18">
        <v>0</v>
      </c>
      <c r="N29" s="18">
        <v>0</v>
      </c>
      <c r="O29" s="18">
        <v>0</v>
      </c>
      <c r="P29" s="18" t="s">
        <v>12</v>
      </c>
      <c r="Q29" s="21" t="s">
        <v>12</v>
      </c>
    </row>
    <row r="30" spans="2:17" x14ac:dyDescent="0.3">
      <c r="B30" s="20">
        <v>44894</v>
      </c>
      <c r="C30" s="17">
        <f t="shared" si="0"/>
        <v>31</v>
      </c>
      <c r="D30" s="18">
        <f t="shared" si="1"/>
        <v>0</v>
      </c>
      <c r="E30" s="18">
        <f>IF(E18+E19+E20+E21+E22+E23+E24+E25+E26+E27+E28+E29&gt;=D6,0,(((D6*(D10/12*(1+D10/12)^D8)/((1+D10/12)^D8-1)))-F30))</f>
        <v>0</v>
      </c>
      <c r="F30" s="18">
        <f>((D6-E18-E19-E20-E21-E22-E23-E24-E25-E26-E27-E28-E29)*D10/12)</f>
        <v>0</v>
      </c>
      <c r="G30" s="18">
        <v>0</v>
      </c>
      <c r="H30" s="18">
        <v>0</v>
      </c>
      <c r="I30" s="18">
        <v>0</v>
      </c>
      <c r="J30" s="18">
        <v>0</v>
      </c>
      <c r="K30" s="18">
        <f t="shared" si="2"/>
        <v>0</v>
      </c>
      <c r="L30" s="18">
        <v>0</v>
      </c>
      <c r="M30" s="18">
        <v>0</v>
      </c>
      <c r="N30" s="18">
        <f>IF(E30&gt;0,SUM(E30:E77)*0.05,0)</f>
        <v>0</v>
      </c>
      <c r="O30" s="18">
        <v>0</v>
      </c>
      <c r="P30" s="18" t="s">
        <v>12</v>
      </c>
      <c r="Q30" s="21" t="s">
        <v>12</v>
      </c>
    </row>
    <row r="31" spans="2:17" x14ac:dyDescent="0.3">
      <c r="B31" s="20">
        <v>44924</v>
      </c>
      <c r="C31" s="17">
        <f t="shared" si="0"/>
        <v>30</v>
      </c>
      <c r="D31" s="18">
        <f t="shared" si="1"/>
        <v>0</v>
      </c>
      <c r="E31" s="18">
        <f>IF(E18+E19+E20+E21+E22+E23+E24+E25+E26+E27+E28+E29+E30&gt;=D6,0,(((D6*(D10/12*(1+D10/12)^D8)/((1+D10/12)^D8-1)))-F31))</f>
        <v>0</v>
      </c>
      <c r="F31" s="18">
        <f>((D6-E18-E19-E20-E21-E22-E23-E24-E25-E26-E27-E28-E29-E30)*D10/12)</f>
        <v>0</v>
      </c>
      <c r="G31" s="18">
        <v>0</v>
      </c>
      <c r="H31" s="18">
        <v>0</v>
      </c>
      <c r="I31" s="18">
        <v>0</v>
      </c>
      <c r="J31" s="18">
        <v>0</v>
      </c>
      <c r="K31" s="18">
        <f t="shared" si="2"/>
        <v>0</v>
      </c>
      <c r="L31" s="18">
        <v>0</v>
      </c>
      <c r="M31" s="18">
        <v>0</v>
      </c>
      <c r="N31" s="18">
        <v>0</v>
      </c>
      <c r="O31" s="18">
        <v>0</v>
      </c>
      <c r="P31" s="18" t="s">
        <v>12</v>
      </c>
      <c r="Q31" s="21" t="s">
        <v>12</v>
      </c>
    </row>
    <row r="32" spans="2:17" x14ac:dyDescent="0.3">
      <c r="B32" s="20">
        <v>44955</v>
      </c>
      <c r="C32" s="17">
        <f t="shared" si="0"/>
        <v>31</v>
      </c>
      <c r="D32" s="18">
        <f t="shared" si="1"/>
        <v>0</v>
      </c>
      <c r="E32" s="18">
        <f>IF(E18+E19+E20+E21+E22+E23+E24+E25+E26+E27+E28+E29+E30+E31&gt;=D6,0,(((D6*(D10/12*(1+D10/12)^D8)/((1+D10/12)^D8-1)))-F32))</f>
        <v>0</v>
      </c>
      <c r="F32" s="18">
        <f>((D6-E18-E19-E20-E21-E22-E23-E24-E25-E26-E27-E28-E29-E30-E31)*D10/12)</f>
        <v>0</v>
      </c>
      <c r="G32" s="18">
        <v>0</v>
      </c>
      <c r="H32" s="18">
        <v>0</v>
      </c>
      <c r="I32" s="18">
        <v>0</v>
      </c>
      <c r="J32" s="18">
        <v>0</v>
      </c>
      <c r="K32" s="18">
        <f t="shared" si="2"/>
        <v>0</v>
      </c>
      <c r="L32" s="18">
        <v>0</v>
      </c>
      <c r="M32" s="18">
        <v>0</v>
      </c>
      <c r="N32" s="18">
        <v>0</v>
      </c>
      <c r="O32" s="18">
        <v>0</v>
      </c>
      <c r="P32" s="18" t="s">
        <v>12</v>
      </c>
      <c r="Q32" s="21" t="s">
        <v>12</v>
      </c>
    </row>
    <row r="33" spans="2:17" x14ac:dyDescent="0.3">
      <c r="B33" s="20">
        <v>44985</v>
      </c>
      <c r="C33" s="17">
        <f t="shared" si="0"/>
        <v>30</v>
      </c>
      <c r="D33" s="18">
        <f t="shared" si="1"/>
        <v>0</v>
      </c>
      <c r="E33" s="18">
        <f>IF(E18+E19+E20+E21+E22+E23+E24+E25+E26+E27+E28+E29+E30+E31+E32&gt;=D6,0,(((D6*(D10/12*(1+D10/12)^D8)/((1+D10/12)^D8-1)))-F33))</f>
        <v>0</v>
      </c>
      <c r="F33" s="18">
        <f>((D6-E18-E19-E20-E21-E22-E23-E24-E25-E26-E27-E28-E29-E30-E31-E32)*D10/12)</f>
        <v>0</v>
      </c>
      <c r="G33" s="18">
        <v>0</v>
      </c>
      <c r="H33" s="18">
        <v>0</v>
      </c>
      <c r="I33" s="18">
        <v>0</v>
      </c>
      <c r="J33" s="18">
        <v>0</v>
      </c>
      <c r="K33" s="18">
        <f t="shared" si="2"/>
        <v>0</v>
      </c>
      <c r="L33" s="18">
        <v>0</v>
      </c>
      <c r="M33" s="18">
        <v>0</v>
      </c>
      <c r="N33" s="18">
        <v>0</v>
      </c>
      <c r="O33" s="18">
        <v>0</v>
      </c>
      <c r="P33" s="18" t="s">
        <v>12</v>
      </c>
      <c r="Q33" s="21" t="s">
        <v>12</v>
      </c>
    </row>
    <row r="34" spans="2:17" x14ac:dyDescent="0.3">
      <c r="B34" s="20">
        <v>45014</v>
      </c>
      <c r="C34" s="17">
        <f t="shared" si="0"/>
        <v>29</v>
      </c>
      <c r="D34" s="18">
        <f t="shared" si="1"/>
        <v>0</v>
      </c>
      <c r="E34" s="18">
        <f>IF(E18+E19+E20+E21+E22+E23+E24+E25+E26+E27+E28+E29+E30+E31+E32+E33&gt;=D6,0,(((D6*(D10/12*(1+D10/12)^D8)/((1+D10/12)^D8-1)))-F34))</f>
        <v>0</v>
      </c>
      <c r="F34" s="18">
        <f>((D6-E18-E19-E20-E21-E22-E23-E24-E25-E26-E27-E28-E29-E30-E31-E32-E33)*D10/12)</f>
        <v>0</v>
      </c>
      <c r="G34" s="18">
        <v>0</v>
      </c>
      <c r="H34" s="18">
        <v>0</v>
      </c>
      <c r="I34" s="18">
        <v>0</v>
      </c>
      <c r="J34" s="18">
        <v>0</v>
      </c>
      <c r="K34" s="18">
        <f t="shared" si="2"/>
        <v>0</v>
      </c>
      <c r="L34" s="18">
        <v>0</v>
      </c>
      <c r="M34" s="18">
        <v>0</v>
      </c>
      <c r="N34" s="18">
        <v>0</v>
      </c>
      <c r="O34" s="18">
        <v>0</v>
      </c>
      <c r="P34" s="18" t="s">
        <v>12</v>
      </c>
      <c r="Q34" s="21" t="s">
        <v>12</v>
      </c>
    </row>
    <row r="35" spans="2:17" x14ac:dyDescent="0.3">
      <c r="B35" s="20">
        <v>45045</v>
      </c>
      <c r="C35" s="17">
        <f t="shared" si="0"/>
        <v>31</v>
      </c>
      <c r="D35" s="18">
        <f t="shared" si="1"/>
        <v>0</v>
      </c>
      <c r="E35" s="18">
        <f>IF(E18+E19+E20+E21+E22+E23+E24+E25+E26+E27+E28+E29+E30+E31+E32+E33+E34&gt;=D6,0,(((D6*(D10/12*(1+D10/12)^D8)/((1+D10/12)^D8-1)))-F35))</f>
        <v>0</v>
      </c>
      <c r="F35" s="18">
        <f>((D6-E18-E19-E20-E21-E22-E23-E24-E25-E26-E27-E28-E29-E30-E31-E32-E33-E34)*D10/12)</f>
        <v>0</v>
      </c>
      <c r="G35" s="18">
        <v>0</v>
      </c>
      <c r="H35" s="18">
        <v>0</v>
      </c>
      <c r="I35" s="18">
        <v>0</v>
      </c>
      <c r="J35" s="18">
        <v>0</v>
      </c>
      <c r="K35" s="18">
        <f t="shared" si="2"/>
        <v>0</v>
      </c>
      <c r="L35" s="18">
        <v>0</v>
      </c>
      <c r="M35" s="18">
        <v>0</v>
      </c>
      <c r="N35" s="18">
        <v>0</v>
      </c>
      <c r="O35" s="18">
        <v>0</v>
      </c>
      <c r="P35" s="18" t="s">
        <v>12</v>
      </c>
      <c r="Q35" s="21" t="s">
        <v>12</v>
      </c>
    </row>
    <row r="36" spans="2:17" x14ac:dyDescent="0.3">
      <c r="B36" s="20">
        <v>45075</v>
      </c>
      <c r="C36" s="17">
        <f t="shared" si="0"/>
        <v>30</v>
      </c>
      <c r="D36" s="18">
        <f t="shared" si="1"/>
        <v>0</v>
      </c>
      <c r="E36" s="18">
        <f>IF(E18+E19+E20+E21+E22+E23+E24+E25+E26+E27+E28+E29+E30+E31+E32+E33+E34+E35&gt;=D6,0,(((D6*(D10/12*(1+D10/12)^D8)/((1+D10/12)^D8-1)))-F36))</f>
        <v>0</v>
      </c>
      <c r="F36" s="18">
        <f>((D6-E18-E19-E20-E21-E22-E23-E24-E25-E26-E27-E28-E29-E30-E31-E32-E33-E34-E35)*D10/12)</f>
        <v>0</v>
      </c>
      <c r="G36" s="18">
        <v>0</v>
      </c>
      <c r="H36" s="18">
        <v>0</v>
      </c>
      <c r="I36" s="18">
        <v>0</v>
      </c>
      <c r="J36" s="18">
        <v>0</v>
      </c>
      <c r="K36" s="18">
        <f t="shared" si="2"/>
        <v>0</v>
      </c>
      <c r="L36" s="18">
        <v>0</v>
      </c>
      <c r="M36" s="18">
        <v>0</v>
      </c>
      <c r="N36" s="18">
        <v>0</v>
      </c>
      <c r="O36" s="18">
        <v>0</v>
      </c>
      <c r="P36" s="18" t="s">
        <v>12</v>
      </c>
      <c r="Q36" s="21" t="s">
        <v>12</v>
      </c>
    </row>
    <row r="37" spans="2:17" x14ac:dyDescent="0.3">
      <c r="B37" s="20">
        <v>45106</v>
      </c>
      <c r="C37" s="17">
        <f t="shared" si="0"/>
        <v>31</v>
      </c>
      <c r="D37" s="18">
        <f t="shared" si="1"/>
        <v>0</v>
      </c>
      <c r="E37" s="18">
        <f>IF(E18+E19+E20+E21+E22+E23+E24+E25+E26+E27+E28+E29+E30+E31+E32+E33+E34+E35+E36&gt;=D6,0,(((D6*(D10/12*(1+D10/12)^D8)/((1+D10/12)^D8-1)))-F37))</f>
        <v>0</v>
      </c>
      <c r="F37" s="18">
        <f>((D6-E18-E19-E20-E21-E22-E23-E24-E25-E26-E27-E28-E29-E30-E31-E32-E33-E34-E35-E36)*D10/12)</f>
        <v>0</v>
      </c>
      <c r="G37" s="18">
        <v>0</v>
      </c>
      <c r="H37" s="18">
        <v>0</v>
      </c>
      <c r="I37" s="18">
        <v>0</v>
      </c>
      <c r="J37" s="18">
        <v>0</v>
      </c>
      <c r="K37" s="18">
        <f t="shared" si="2"/>
        <v>0</v>
      </c>
      <c r="L37" s="18">
        <v>0</v>
      </c>
      <c r="M37" s="18">
        <v>0</v>
      </c>
      <c r="N37" s="18">
        <v>0</v>
      </c>
      <c r="O37" s="18">
        <v>0</v>
      </c>
      <c r="P37" s="18" t="s">
        <v>12</v>
      </c>
      <c r="Q37" s="21" t="s">
        <v>12</v>
      </c>
    </row>
    <row r="38" spans="2:17" x14ac:dyDescent="0.3">
      <c r="B38" s="20">
        <v>45136</v>
      </c>
      <c r="C38" s="17">
        <f t="shared" si="0"/>
        <v>30</v>
      </c>
      <c r="D38" s="18">
        <f t="shared" si="1"/>
        <v>0</v>
      </c>
      <c r="E38" s="18">
        <f>IF(E18+E19+E20+E21+E22+E23+E24+E25+E26+E27+E28+E29+E30+E31+E32+E33+E34+E35+E36+E37&gt;=D6,0,(((D6*(D10/12*(1+D10/12)^D8)/((1+D10/12)^D8-1)))-F38))</f>
        <v>0</v>
      </c>
      <c r="F38" s="18">
        <f>((D6-E18-E19-E20-E21-E22-E23-E24-E25-E26-E27-E28-E29-E30-E31-E32-E33-E34-E35-E36-E37)*D10/12)</f>
        <v>0</v>
      </c>
      <c r="G38" s="18">
        <v>0</v>
      </c>
      <c r="H38" s="18">
        <v>0</v>
      </c>
      <c r="I38" s="18">
        <v>0</v>
      </c>
      <c r="J38" s="18">
        <v>0</v>
      </c>
      <c r="K38" s="18">
        <f t="shared" si="2"/>
        <v>0</v>
      </c>
      <c r="L38" s="18">
        <v>0</v>
      </c>
      <c r="M38" s="18">
        <v>0</v>
      </c>
      <c r="N38" s="18">
        <v>0</v>
      </c>
      <c r="O38" s="18">
        <v>0</v>
      </c>
      <c r="P38" s="18" t="s">
        <v>12</v>
      </c>
      <c r="Q38" s="21" t="s">
        <v>12</v>
      </c>
    </row>
    <row r="39" spans="2:17" x14ac:dyDescent="0.3">
      <c r="B39" s="20">
        <v>45167</v>
      </c>
      <c r="C39" s="17">
        <f t="shared" si="0"/>
        <v>31</v>
      </c>
      <c r="D39" s="18">
        <f t="shared" si="1"/>
        <v>0</v>
      </c>
      <c r="E39" s="18">
        <f>IF(E18+E19+E20+E21+E22+E23+E24+E25+E26+E27+E28+E29+E30+E31+E32+E33+E34+E35+E36+E37+E38&gt;=D6,0,(((D6*(D10/12*(1+D10/12)^D8)/((1+D10/12)^D8-1)))-F39))</f>
        <v>0</v>
      </c>
      <c r="F39" s="18">
        <f>((D6-E18-E19-E20-E21-E22-E23-E24-E25-E26-E27-E28-E29-E30-E31-E32-E33-E34-E35-E36-E37-E38)*D10/12)</f>
        <v>0</v>
      </c>
      <c r="G39" s="18">
        <v>0</v>
      </c>
      <c r="H39" s="18">
        <v>0</v>
      </c>
      <c r="I39" s="18">
        <v>0</v>
      </c>
      <c r="J39" s="18">
        <v>0</v>
      </c>
      <c r="K39" s="18">
        <f t="shared" si="2"/>
        <v>0</v>
      </c>
      <c r="L39" s="18">
        <v>0</v>
      </c>
      <c r="M39" s="18">
        <v>0</v>
      </c>
      <c r="N39" s="18">
        <v>0</v>
      </c>
      <c r="O39" s="18">
        <v>0</v>
      </c>
      <c r="P39" s="18" t="s">
        <v>12</v>
      </c>
      <c r="Q39" s="21" t="s">
        <v>12</v>
      </c>
    </row>
    <row r="40" spans="2:17" x14ac:dyDescent="0.3">
      <c r="B40" s="20">
        <v>45198</v>
      </c>
      <c r="C40" s="17">
        <f t="shared" si="0"/>
        <v>31</v>
      </c>
      <c r="D40" s="18">
        <f t="shared" si="1"/>
        <v>0</v>
      </c>
      <c r="E40" s="18">
        <f>IF(E18+E19+E20+E21+E22+E23+E24+E25+E26+E27+E28+E29+E30+E31+E32+E33+E34+E35+E36+E37+E38+E39&gt;=D6,0,(((D6*(D10/12*(1+D10/12)^D8)/((1+D10/12)^D8-1)))-F40))</f>
        <v>0</v>
      </c>
      <c r="F40" s="18">
        <f>((D6-E18-E19-E20-E21-E22-E23-E24-E25-E26-E27-E28-E29-E30-E31-E32-E33-E34-E35-E36-E37-E38-E39)*D10/12)</f>
        <v>0</v>
      </c>
      <c r="G40" s="18">
        <v>0</v>
      </c>
      <c r="H40" s="18">
        <v>0</v>
      </c>
      <c r="I40" s="18">
        <v>0</v>
      </c>
      <c r="J40" s="18">
        <v>0</v>
      </c>
      <c r="K40" s="18">
        <f t="shared" si="2"/>
        <v>0</v>
      </c>
      <c r="L40" s="18">
        <v>0</v>
      </c>
      <c r="M40" s="18">
        <v>0</v>
      </c>
      <c r="N40" s="18">
        <v>0</v>
      </c>
      <c r="O40" s="18">
        <v>0</v>
      </c>
      <c r="P40" s="18" t="s">
        <v>12</v>
      </c>
      <c r="Q40" s="21" t="s">
        <v>12</v>
      </c>
    </row>
    <row r="41" spans="2:17" x14ac:dyDescent="0.3">
      <c r="B41" s="20">
        <v>45228</v>
      </c>
      <c r="C41" s="17">
        <f t="shared" si="0"/>
        <v>30</v>
      </c>
      <c r="D41" s="18">
        <f t="shared" si="1"/>
        <v>0</v>
      </c>
      <c r="E41" s="18">
        <f>IF(E18+E19+E20+E21+E22+E23+E24+E25+E26+E27+E28+E29+E30+E31+E32+E33+E34+E35+E36+E37+E38+E39+E40&gt;=D6,0,(((D6*(D10/12*(1+D10/12)^D8)/((1+D10/12)^D8-1)))-F41))</f>
        <v>0</v>
      </c>
      <c r="F41" s="18">
        <f>((D6-E18-E19-E20-E21-E22-E23-E24-E25-E26-E27-E28-E29-E30-E31-E32-E33-E34-E35-E36-E37-E38-E39-E40)*D10/12)</f>
        <v>0</v>
      </c>
      <c r="G41" s="18">
        <v>0</v>
      </c>
      <c r="H41" s="18">
        <v>0</v>
      </c>
      <c r="I41" s="18">
        <v>0</v>
      </c>
      <c r="J41" s="18">
        <v>0</v>
      </c>
      <c r="K41" s="18">
        <f t="shared" si="2"/>
        <v>0</v>
      </c>
      <c r="L41" s="18">
        <v>0</v>
      </c>
      <c r="M41" s="18">
        <v>0</v>
      </c>
      <c r="N41" s="18">
        <v>0</v>
      </c>
      <c r="O41" s="18">
        <v>0</v>
      </c>
      <c r="P41" s="18" t="s">
        <v>12</v>
      </c>
      <c r="Q41" s="21" t="s">
        <v>12</v>
      </c>
    </row>
    <row r="42" spans="2:17" x14ac:dyDescent="0.3">
      <c r="B42" s="20">
        <v>45259</v>
      </c>
      <c r="C42" s="17">
        <f t="shared" si="0"/>
        <v>31</v>
      </c>
      <c r="D42" s="18">
        <f t="shared" si="1"/>
        <v>0</v>
      </c>
      <c r="E42" s="18">
        <f>IF(E18+E19+E20+E21+E22+E23+E24+E25+E26+E27+E28+E29+E30+E31+E32+E33+E34+E35+E36+E37+E38+E39+E40+E41&gt;=D6,0,(((D6*(D10/12*(1+D10/12)^D8)/((1+D10/12)^D8-1)))-F42))</f>
        <v>0</v>
      </c>
      <c r="F42" s="18">
        <f>((D6-E18-E19-E20-E21-E22-E23-E24-E25-E26-E27-E28-E29-E30-E31-E32-E33-E34-E35-E36-E37-E38-E39-E40-E41)*D10/12)</f>
        <v>0</v>
      </c>
      <c r="G42" s="18">
        <v>0</v>
      </c>
      <c r="H42" s="18">
        <v>0</v>
      </c>
      <c r="I42" s="18">
        <v>0</v>
      </c>
      <c r="J42" s="18">
        <v>0</v>
      </c>
      <c r="K42" s="18">
        <f t="shared" si="2"/>
        <v>0</v>
      </c>
      <c r="L42" s="18">
        <v>0</v>
      </c>
      <c r="M42" s="18">
        <v>0</v>
      </c>
      <c r="N42" s="18">
        <f>IF(E42&gt;0,SUM(E42:E77)*0.05,0)</f>
        <v>0</v>
      </c>
      <c r="O42" s="18">
        <v>0</v>
      </c>
      <c r="P42" s="18" t="s">
        <v>12</v>
      </c>
      <c r="Q42" s="21" t="s">
        <v>12</v>
      </c>
    </row>
    <row r="43" spans="2:17" x14ac:dyDescent="0.3">
      <c r="B43" s="20">
        <v>45289</v>
      </c>
      <c r="C43" s="17">
        <f t="shared" si="0"/>
        <v>30</v>
      </c>
      <c r="D43" s="18">
        <f t="shared" si="1"/>
        <v>0</v>
      </c>
      <c r="E43" s="18">
        <f>IF(E18+E19+E20+E21+E22+E23+E24+E25+E26+E27+E28+E29+E30+E31+E32+E33+E34+E35+E36+E37+E38+E39+E40+E41+E42&gt;=D6,0,(((D6*(D10/12*(1+D10/12)^D8)/((1+D10/12)^D8-1)))-F43))</f>
        <v>0</v>
      </c>
      <c r="F43" s="18">
        <f>((D6-E18-E19-E20-E21-E22-E23-E24-E25-E26-E27-E28-E29-E30-E31-E32-E33-E34-E35-E36-E37-E38-E39-E40-E41-E42)*D10/12)</f>
        <v>0</v>
      </c>
      <c r="G43" s="18">
        <v>0</v>
      </c>
      <c r="H43" s="18">
        <v>0</v>
      </c>
      <c r="I43" s="18">
        <v>0</v>
      </c>
      <c r="J43" s="18">
        <v>0</v>
      </c>
      <c r="K43" s="18">
        <f t="shared" si="2"/>
        <v>0</v>
      </c>
      <c r="L43" s="18">
        <v>0</v>
      </c>
      <c r="M43" s="18">
        <v>0</v>
      </c>
      <c r="N43" s="18">
        <v>0</v>
      </c>
      <c r="O43" s="18">
        <v>0</v>
      </c>
      <c r="P43" s="18" t="s">
        <v>12</v>
      </c>
      <c r="Q43" s="21" t="s">
        <v>12</v>
      </c>
    </row>
    <row r="44" spans="2:17" x14ac:dyDescent="0.3">
      <c r="B44" s="20">
        <v>45320</v>
      </c>
      <c r="C44" s="17">
        <f t="shared" si="0"/>
        <v>31</v>
      </c>
      <c r="D44" s="18">
        <f t="shared" si="1"/>
        <v>0</v>
      </c>
      <c r="E44" s="18">
        <f>IF(E18+E19+E20+E21+E22+E23+E24+E25+E26+E27+E28+E29+E30+E31+E32+E33+E34+E35+E36+E37+E38+E39+E40+E41+E42+E43&gt;=D6,0,(((D6*(D10/12*(1+D10/12)^D8)/((1+D10/12)^D8-1)))-F44))</f>
        <v>0</v>
      </c>
      <c r="F44" s="18">
        <f>((D6-E18-E19-E20-E21-E22-E23-E24-E25-E26-E27-E28-E29-E30-E31-E32-E33-E34-E35-E36-E37-E38-E39-E40-E41-E42-E43)*D10/12)</f>
        <v>0</v>
      </c>
      <c r="G44" s="18">
        <v>0</v>
      </c>
      <c r="H44" s="18">
        <v>0</v>
      </c>
      <c r="I44" s="18">
        <v>0</v>
      </c>
      <c r="J44" s="18">
        <v>0</v>
      </c>
      <c r="K44" s="18">
        <f t="shared" si="2"/>
        <v>0</v>
      </c>
      <c r="L44" s="18">
        <v>0</v>
      </c>
      <c r="M44" s="18">
        <v>0</v>
      </c>
      <c r="N44" s="18">
        <v>0</v>
      </c>
      <c r="O44" s="18">
        <v>0</v>
      </c>
      <c r="P44" s="18" t="s">
        <v>12</v>
      </c>
      <c r="Q44" s="21" t="s">
        <v>12</v>
      </c>
    </row>
    <row r="45" spans="2:17" x14ac:dyDescent="0.3">
      <c r="B45" s="20">
        <v>45351</v>
      </c>
      <c r="C45" s="17">
        <f t="shared" si="0"/>
        <v>31</v>
      </c>
      <c r="D45" s="18">
        <f t="shared" si="1"/>
        <v>0</v>
      </c>
      <c r="E45" s="18">
        <f>IF(E18+E19+E20+E21+E22+E23+E24+E25+E26+E27+E28+E29+E30+E31+E32+E33+E34+E35+E36+E37+E38+E39+E40+E41+E42+E43+E44&gt;=D6,0,(((D6*(D10/12*(1+D10/12)^D8)/((1+D10/12)^D8-1)))-F45))</f>
        <v>0</v>
      </c>
      <c r="F45" s="18">
        <f>((D6-E18-E19-E20-E21-E22-E23-E24-E25-E26-E27-E28-E29-E30-E31-E32-E33-E34-E35-E36-E37-E38-E39-E40-E41-E42-E43-E44)*D10/12)</f>
        <v>0</v>
      </c>
      <c r="G45" s="18">
        <v>0</v>
      </c>
      <c r="H45" s="18">
        <v>0</v>
      </c>
      <c r="I45" s="18">
        <v>0</v>
      </c>
      <c r="J45" s="18">
        <v>0</v>
      </c>
      <c r="K45" s="18">
        <f t="shared" si="2"/>
        <v>0</v>
      </c>
      <c r="L45" s="18">
        <v>0</v>
      </c>
      <c r="M45" s="18">
        <v>0</v>
      </c>
      <c r="N45" s="18">
        <v>0</v>
      </c>
      <c r="O45" s="18">
        <v>0</v>
      </c>
      <c r="P45" s="18" t="s">
        <v>12</v>
      </c>
      <c r="Q45" s="21" t="s">
        <v>12</v>
      </c>
    </row>
    <row r="46" spans="2:17" x14ac:dyDescent="0.3">
      <c r="B46" s="20">
        <v>45380</v>
      </c>
      <c r="C46" s="17">
        <f t="shared" si="0"/>
        <v>29</v>
      </c>
      <c r="D46" s="18">
        <f t="shared" si="1"/>
        <v>0</v>
      </c>
      <c r="E46" s="18">
        <f>IF(E18+E19+E20+E21+E22+E23+E24+E25+E26+E27+E28+E29+E30+E31+E32+E33+E34+E35+E36+E37+E38+E39+E40+E41+E42+E43+E44+E45&gt;=D6,0,(((D6*(D10/12*(1+D10/12)^D8)/((1+D10/12)^D8-1)))-F46))</f>
        <v>0</v>
      </c>
      <c r="F46" s="18">
        <f>((D6-E18-E19-E20-E21-E22-E23-E24-E25-E26-E27-E28-E29-E30-E31-E32-E33-E34-E35-E36-E37-E38-E39-E40-E41-E42-E43-E44-E45)*D10/12)</f>
        <v>0</v>
      </c>
      <c r="G46" s="18">
        <v>0</v>
      </c>
      <c r="H46" s="18">
        <v>0</v>
      </c>
      <c r="I46" s="18">
        <v>0</v>
      </c>
      <c r="J46" s="18">
        <v>0</v>
      </c>
      <c r="K46" s="18">
        <f t="shared" si="2"/>
        <v>0</v>
      </c>
      <c r="L46" s="18">
        <v>0</v>
      </c>
      <c r="M46" s="18">
        <v>0</v>
      </c>
      <c r="N46" s="18">
        <v>0</v>
      </c>
      <c r="O46" s="18">
        <v>0</v>
      </c>
      <c r="P46" s="18" t="s">
        <v>12</v>
      </c>
      <c r="Q46" s="21" t="s">
        <v>12</v>
      </c>
    </row>
    <row r="47" spans="2:17" x14ac:dyDescent="0.3">
      <c r="B47" s="20">
        <v>45411</v>
      </c>
      <c r="C47" s="17">
        <f t="shared" si="0"/>
        <v>31</v>
      </c>
      <c r="D47" s="18">
        <f t="shared" si="1"/>
        <v>0</v>
      </c>
      <c r="E47" s="18">
        <f>IF(E18+E19+E20+E21+E22+E23+E24+E25+E26+E27+E28+E29+E30+E31+E32+E33+E34+E35+E36+E37+E38+E39+E40+E41+E42+E43+E44+E45+E46&gt;=D6,0,(((D6*(D10/12*(1+D10/12)^D8)/((1+D10/12)^D8-1)))-F47))</f>
        <v>0</v>
      </c>
      <c r="F47" s="18">
        <f>((D6-E18-E19-E20-E21-E22-E23-E24-E25-E26-E27-E28-E29-E30-E31-E32-E33-E34-E35-E36-E37-E38-E39-E40-E41-E42-E43-E44-E45-E46)*D10/12)</f>
        <v>0</v>
      </c>
      <c r="G47" s="18">
        <v>0</v>
      </c>
      <c r="H47" s="18">
        <v>0</v>
      </c>
      <c r="I47" s="18">
        <v>0</v>
      </c>
      <c r="J47" s="18">
        <v>0</v>
      </c>
      <c r="K47" s="18">
        <f t="shared" si="2"/>
        <v>0</v>
      </c>
      <c r="L47" s="18">
        <v>0</v>
      </c>
      <c r="M47" s="18">
        <v>0</v>
      </c>
      <c r="N47" s="18">
        <v>0</v>
      </c>
      <c r="O47" s="18">
        <v>0</v>
      </c>
      <c r="P47" s="18" t="s">
        <v>12</v>
      </c>
      <c r="Q47" s="21" t="s">
        <v>12</v>
      </c>
    </row>
    <row r="48" spans="2:17" x14ac:dyDescent="0.3">
      <c r="B48" s="20">
        <v>45441</v>
      </c>
      <c r="C48" s="17">
        <f t="shared" si="0"/>
        <v>30</v>
      </c>
      <c r="D48" s="18">
        <f t="shared" si="1"/>
        <v>0</v>
      </c>
      <c r="E48" s="18">
        <f>IF(E18+E19+E20+E21+E22+E23+E24+E25+E26+E27+E28+E29+E30+E31+E32+E33+E34+E35+E36+E37+E38+E39+E40+E41+E42+E43+E44+E45+E46+E47&gt;=D6,0,(((D6*(D10/12*(1+D10/12)^D8)/((1+D10/12)^D8-1)))-F48))</f>
        <v>0</v>
      </c>
      <c r="F48" s="18">
        <f>((D6-E18-E19-E20-E21-E22-E23-E24-E25-E26-E27-E28-E29-E30-E31-E32-E33-E34-E35-E36-E37-E38-E39-E40-E41-E42-E43-E44-E45-E46-E47)*D10/12)</f>
        <v>0</v>
      </c>
      <c r="G48" s="18">
        <v>0</v>
      </c>
      <c r="H48" s="18">
        <v>0</v>
      </c>
      <c r="I48" s="18">
        <v>0</v>
      </c>
      <c r="J48" s="18">
        <v>0</v>
      </c>
      <c r="K48" s="18">
        <f t="shared" si="2"/>
        <v>0</v>
      </c>
      <c r="L48" s="18">
        <v>0</v>
      </c>
      <c r="M48" s="18">
        <v>0</v>
      </c>
      <c r="N48" s="18">
        <v>0</v>
      </c>
      <c r="O48" s="18">
        <v>0</v>
      </c>
      <c r="P48" s="18" t="s">
        <v>12</v>
      </c>
      <c r="Q48" s="21" t="s">
        <v>12</v>
      </c>
    </row>
    <row r="49" spans="2:17" x14ac:dyDescent="0.3">
      <c r="B49" s="20">
        <v>45472</v>
      </c>
      <c r="C49" s="17">
        <f t="shared" si="0"/>
        <v>31</v>
      </c>
      <c r="D49" s="18">
        <f t="shared" si="1"/>
        <v>0</v>
      </c>
      <c r="E49" s="18">
        <f>IF(E18+E19+E20+E21+E22+E23+E24+E25+E26+E27+E28+E29+E30+E31+E32+E33+E34+E35+E36+E37+E38+E39+E40+E41+E42+E43+E44+E45+E46+E47+E48&gt;=D6,0,(((D6*(D10/12*(1+D10/12)^D8)/((1+D10/12)^D8-1)))-F49))</f>
        <v>0</v>
      </c>
      <c r="F49" s="18">
        <f>((D6-E18-E19-E20-E21-E22-E23-E24-E25-E26-E27-E28-E29-E30-E31-E32-E33-E34-E35-E36-E37-E38-E39-E40-E41-E42-E43-E44-E45-E46-E47-E48)*D10/12)</f>
        <v>0</v>
      </c>
      <c r="G49" s="18">
        <v>0</v>
      </c>
      <c r="H49" s="18">
        <v>0</v>
      </c>
      <c r="I49" s="18">
        <v>0</v>
      </c>
      <c r="J49" s="18">
        <v>0</v>
      </c>
      <c r="K49" s="18">
        <f t="shared" si="2"/>
        <v>0</v>
      </c>
      <c r="L49" s="18">
        <v>0</v>
      </c>
      <c r="M49" s="18">
        <v>0</v>
      </c>
      <c r="N49" s="18">
        <v>0</v>
      </c>
      <c r="O49" s="18">
        <v>0</v>
      </c>
      <c r="P49" s="18" t="s">
        <v>12</v>
      </c>
      <c r="Q49" s="21" t="s">
        <v>12</v>
      </c>
    </row>
    <row r="50" spans="2:17" x14ac:dyDescent="0.3">
      <c r="B50" s="20">
        <v>45502</v>
      </c>
      <c r="C50" s="17">
        <f t="shared" si="0"/>
        <v>30</v>
      </c>
      <c r="D50" s="18">
        <f t="shared" si="1"/>
        <v>0</v>
      </c>
      <c r="E50" s="18">
        <f>IF(E18+E19+E20+E21+E22+E23+E24+E25+E26+E27+E28+E29+E30+E31+E32+E33+E34+E35+E36+E37+E38+E39+E40+E41+E42+E43+E44+E45+E46+E47+E49&gt;=D6,0,(((D6*(D10/12*(1+D10/12)^D8)/((1+D10/12)^D8-1)))-F50))</f>
        <v>0</v>
      </c>
      <c r="F50" s="18">
        <f>((D6-E18-E19-E20-E21-E22-E23-E24-E25-E26-E27-E28-E29-E30-E31-E32-E33-E34-E35-E36-E37-E38-E39-E40-E41-E42-E43-E44-E45-E46-E47-E48-E49)*D10/12)</f>
        <v>0</v>
      </c>
      <c r="G50" s="18">
        <v>0</v>
      </c>
      <c r="H50" s="18">
        <v>0</v>
      </c>
      <c r="I50" s="18">
        <v>0</v>
      </c>
      <c r="J50" s="18">
        <v>0</v>
      </c>
      <c r="K50" s="18">
        <f t="shared" si="2"/>
        <v>0</v>
      </c>
      <c r="L50" s="18">
        <v>0</v>
      </c>
      <c r="M50" s="18">
        <v>0</v>
      </c>
      <c r="N50" s="18">
        <v>0</v>
      </c>
      <c r="O50" s="18">
        <v>0</v>
      </c>
      <c r="P50" s="18" t="s">
        <v>12</v>
      </c>
      <c r="Q50" s="21" t="s">
        <v>12</v>
      </c>
    </row>
    <row r="51" spans="2:17" x14ac:dyDescent="0.3">
      <c r="B51" s="20">
        <v>45533</v>
      </c>
      <c r="C51" s="17">
        <f t="shared" si="0"/>
        <v>31</v>
      </c>
      <c r="D51" s="18">
        <f t="shared" si="1"/>
        <v>0</v>
      </c>
      <c r="E51" s="18">
        <f>IF(E18+E19+E20+E21+E22+E23+E24+E25+E26+E27+E28+E29+E30+E31+E32+E33+E34+E35+E36+E37+E38+E39+E40+E41+E42+E43+E44+E45+E46+E47+E48+E49+E50&gt;=D6,0,(((D6*(D10/12*(1+D10/12)^D8)/((1+D10/12)^D8-1)))-F51))</f>
        <v>0</v>
      </c>
      <c r="F51" s="18">
        <f>((D6-E18-E19-E20-E21-E22-E23-E24-E25-E26-E27-E28-E29-E30-E31-E32-E33-E34-E35-E36-E37-E38-E39-E40-E41-E42-E43-E44-E45-E46-E47-E48-E49-E50)*D10/12)</f>
        <v>0</v>
      </c>
      <c r="G51" s="18">
        <v>0</v>
      </c>
      <c r="H51" s="18">
        <v>0</v>
      </c>
      <c r="I51" s="18">
        <v>0</v>
      </c>
      <c r="J51" s="18">
        <v>0</v>
      </c>
      <c r="K51" s="18">
        <f t="shared" si="2"/>
        <v>0</v>
      </c>
      <c r="L51" s="18">
        <v>0</v>
      </c>
      <c r="M51" s="18">
        <v>0</v>
      </c>
      <c r="N51" s="18">
        <v>0</v>
      </c>
      <c r="O51" s="18">
        <v>0</v>
      </c>
      <c r="P51" s="18" t="s">
        <v>12</v>
      </c>
      <c r="Q51" s="21" t="s">
        <v>12</v>
      </c>
    </row>
    <row r="52" spans="2:17" x14ac:dyDescent="0.3">
      <c r="B52" s="20">
        <v>45564</v>
      </c>
      <c r="C52" s="17">
        <f t="shared" si="0"/>
        <v>31</v>
      </c>
      <c r="D52" s="18">
        <f t="shared" si="1"/>
        <v>0</v>
      </c>
      <c r="E52" s="18">
        <f>IF(E18+E19+E20+E21+E22+E23+E24+E25+E26+E27+E28+E29+E30+E31+E32+E33+E34+E35+E36+E37+E38+E39+E40+E41+E42+E43+E44+E45+E46+E47+E48+E49+E50+E51&gt;=D6,0,(((D6*(D10/12*(1+D10/12)^D8)/((1+D10/12)^D8-1)))-F52))</f>
        <v>0</v>
      </c>
      <c r="F52" s="18">
        <f>((D6-E18-E19-E20-E21-E22-E23-E24-E25-E26-E27-E28-E29-E30-E31-E32-E33-E34-E35-E36-E37-E38-E39-E40-E41-E42-E43-E44-E45-E46-E47-E48-E49-E50-E51)*D10/12)</f>
        <v>0</v>
      </c>
      <c r="G52" s="18">
        <v>0</v>
      </c>
      <c r="H52" s="18">
        <v>0</v>
      </c>
      <c r="I52" s="18">
        <v>0</v>
      </c>
      <c r="J52" s="18">
        <v>0</v>
      </c>
      <c r="K52" s="18">
        <f t="shared" si="2"/>
        <v>0</v>
      </c>
      <c r="L52" s="18">
        <v>0</v>
      </c>
      <c r="M52" s="18">
        <v>0</v>
      </c>
      <c r="N52" s="18">
        <v>0</v>
      </c>
      <c r="O52" s="18">
        <v>0</v>
      </c>
      <c r="P52" s="18" t="s">
        <v>12</v>
      </c>
      <c r="Q52" s="21" t="s">
        <v>12</v>
      </c>
    </row>
    <row r="53" spans="2:17" x14ac:dyDescent="0.3">
      <c r="B53" s="20">
        <v>45594</v>
      </c>
      <c r="C53" s="17">
        <f t="shared" si="0"/>
        <v>30</v>
      </c>
      <c r="D53" s="18">
        <f t="shared" si="1"/>
        <v>0</v>
      </c>
      <c r="E53" s="18">
        <f>IF(E18+E19+E20+E21+E22+E23+E24+E25+E26+E27+E28+E29+E30+E31+E32+E33+E34+E35+E36+E37+E38+E39+E40+E41+E42+E43+E44+E45+E46+E47+E48+E49+E50+E51+E52&gt;=D6,0,(((D6*(D10/12*(1+D10/12)^D8)/((1+D10/12)^D8-1)))-F53))</f>
        <v>0</v>
      </c>
      <c r="F53" s="18">
        <f>((D6-E18-E19-E20-E21-E22-E23-E24-E25-E26-E27-E28-E29-E30-E31-E32-E33-E34-E35-E36-E37-E38-E39-E40-E41-E42-E43-E44-E45-E46-E47-E48-E49-E50-E51-E52)*D10/12)</f>
        <v>0</v>
      </c>
      <c r="G53" s="18">
        <v>0</v>
      </c>
      <c r="H53" s="18">
        <v>0</v>
      </c>
      <c r="I53" s="18">
        <v>0</v>
      </c>
      <c r="J53" s="18">
        <v>0</v>
      </c>
      <c r="K53" s="18">
        <f t="shared" si="2"/>
        <v>0</v>
      </c>
      <c r="L53" s="18">
        <v>0</v>
      </c>
      <c r="M53" s="18">
        <v>0</v>
      </c>
      <c r="N53" s="18">
        <v>0</v>
      </c>
      <c r="O53" s="18">
        <v>0</v>
      </c>
      <c r="P53" s="18" t="s">
        <v>12</v>
      </c>
      <c r="Q53" s="21" t="s">
        <v>12</v>
      </c>
    </row>
    <row r="54" spans="2:17" x14ac:dyDescent="0.3">
      <c r="B54" s="20">
        <v>45625</v>
      </c>
      <c r="C54" s="17">
        <f t="shared" si="0"/>
        <v>31</v>
      </c>
      <c r="D54" s="18">
        <f t="shared" si="1"/>
        <v>0</v>
      </c>
      <c r="E54" s="18">
        <f>IF(E18+E19+E20+E21+E22+E23+E24+E25+E26+E27+E28+E29+E30+E31+E32+E33+E34+E35+E36+E37+E38+E39+E40+E41+E42+E43+E44+E45+E46+E47+E48+E49+E50+E51+E52+E53&gt;=D6,0,(((D6*(D10/12*(1+D10/12)^D8)/((1+D10/12)^D8-1)))-F54))</f>
        <v>0</v>
      </c>
      <c r="F54" s="18">
        <f>((D6-E18-E19-E20-E21-E22-E23-E24-E25-E26-E27-E28-E29-E30-E31-E32-E33-E34-E35-E36-E37-E38-E39-E40-E41-E42-E43-E44-E45-E46-E47-E48-E49-E50-E51-E52-E53)*D10/12)</f>
        <v>0</v>
      </c>
      <c r="G54" s="18">
        <v>0</v>
      </c>
      <c r="H54" s="18">
        <v>0</v>
      </c>
      <c r="I54" s="18">
        <v>0</v>
      </c>
      <c r="J54" s="18">
        <v>0</v>
      </c>
      <c r="K54" s="18">
        <f t="shared" si="2"/>
        <v>0</v>
      </c>
      <c r="L54" s="18">
        <v>0</v>
      </c>
      <c r="M54" s="18">
        <v>0</v>
      </c>
      <c r="N54" s="18">
        <f>IF(E54&gt;0,SUM(E54:E77)*0.05,0)</f>
        <v>0</v>
      </c>
      <c r="O54" s="18">
        <v>0</v>
      </c>
      <c r="P54" s="18" t="s">
        <v>12</v>
      </c>
      <c r="Q54" s="21" t="s">
        <v>12</v>
      </c>
    </row>
    <row r="55" spans="2:17" x14ac:dyDescent="0.3">
      <c r="B55" s="20">
        <v>45655</v>
      </c>
      <c r="C55" s="17">
        <f t="shared" si="0"/>
        <v>30</v>
      </c>
      <c r="D55" s="18">
        <f t="shared" si="1"/>
        <v>0</v>
      </c>
      <c r="E55" s="18">
        <f>IF(E18+E19+E20+E21+E22+E23+E24+E25+E26+E27+E28+E29+E30+E31+E32+E33+E34+E35+E36+E37+E38+E39+E40+E41+E42+E43+E44+E45+E46+E47+E48+E49+E50+E51+E52+E53+E54&gt;=D6,0,(((D6*(D10/12*(1+D10/12)^D8)/((1+D10/12)^D8-1)))-F55))</f>
        <v>0</v>
      </c>
      <c r="F55" s="18">
        <f>((D6-E18-E19-E20-E21-E22-E23-E24-E25-E26-E27-E28-E29-E30-E31-E32-E33-E34-E35-E36-E37-E38-E39-E40-E41-E42-E43-E44-E45-E46-E47-E48-E49-E50-E51-E52-E53-E54)*D10/12)</f>
        <v>0</v>
      </c>
      <c r="G55" s="18">
        <v>0</v>
      </c>
      <c r="H55" s="18">
        <v>0</v>
      </c>
      <c r="I55" s="18">
        <v>0</v>
      </c>
      <c r="J55" s="18">
        <v>0</v>
      </c>
      <c r="K55" s="18">
        <f t="shared" si="2"/>
        <v>0</v>
      </c>
      <c r="L55" s="18">
        <v>0</v>
      </c>
      <c r="M55" s="18">
        <v>0</v>
      </c>
      <c r="N55" s="18">
        <v>0</v>
      </c>
      <c r="O55" s="18">
        <v>0</v>
      </c>
      <c r="P55" s="18" t="s">
        <v>12</v>
      </c>
      <c r="Q55" s="21" t="s">
        <v>12</v>
      </c>
    </row>
    <row r="56" spans="2:17" x14ac:dyDescent="0.3">
      <c r="B56" s="20">
        <v>45686</v>
      </c>
      <c r="C56" s="17">
        <f t="shared" si="0"/>
        <v>31</v>
      </c>
      <c r="D56" s="18">
        <f t="shared" si="1"/>
        <v>0</v>
      </c>
      <c r="E56" s="18">
        <f>IF(E18+E19+E20+E21+E22+E23+E24+E25+E26+E27+E28+E29+E30+E31+E32+E33+E34+E35+E36+E37+E38+E39+E40+E41+E42+E43+E44+E45+E46+E47+E48+E49+E50+E51+E52+E53+E54+E55&gt;=D6,0,(((D6*(D10/12*(1+D10/12)^D8)/((1+D10/12)^D8-1)))-F56))</f>
        <v>0</v>
      </c>
      <c r="F56" s="18">
        <f>((D6-E18-E19-E20-E21-E22-E23-E24-E25-E26-E27-E28-E29-E30-E31-E32-E33-E34-E35-E36-E37-E38-E39-E40-E41-E42-E43-E44-E45-E46-E47-E48-E49-E50-E51-E52-E53-E54-E55)*D10/12)</f>
        <v>0</v>
      </c>
      <c r="G56" s="18">
        <v>0</v>
      </c>
      <c r="H56" s="18">
        <v>0</v>
      </c>
      <c r="I56" s="18">
        <v>0</v>
      </c>
      <c r="J56" s="18">
        <v>0</v>
      </c>
      <c r="K56" s="18">
        <f t="shared" si="2"/>
        <v>0</v>
      </c>
      <c r="L56" s="18">
        <v>0</v>
      </c>
      <c r="M56" s="18">
        <v>0</v>
      </c>
      <c r="N56" s="18">
        <v>0</v>
      </c>
      <c r="O56" s="18">
        <v>0</v>
      </c>
      <c r="P56" s="18" t="s">
        <v>12</v>
      </c>
      <c r="Q56" s="21" t="s">
        <v>12</v>
      </c>
    </row>
    <row r="57" spans="2:17" x14ac:dyDescent="0.3">
      <c r="B57" s="20">
        <v>45716</v>
      </c>
      <c r="C57" s="17">
        <f t="shared" si="0"/>
        <v>30</v>
      </c>
      <c r="D57" s="18">
        <f t="shared" si="1"/>
        <v>0</v>
      </c>
      <c r="E57" s="18">
        <f>IF(E18+E19+E20+E21+E22+E23+E24+E25+E26+E27+E28+E29+E30+E31+E32+E33+E34+E35+E36+E37+E38+E39+E40+E41+E42+E43+E44+E45+E46+E47+E48+E49+E50+E51+E52+E53+E54+E55+E56&gt;=D6,0,(((D6*(D10/12*(1+D10/12)^D8)/((1+D10/12)^D8-1)))-F57))</f>
        <v>0</v>
      </c>
      <c r="F57" s="18">
        <f>((D6-E18-E19-E20-E21-E22-E23-E24-E25-E26-E27-E28-E29-E30-E31-E32-E33-E34-E35-E36-E37-E38-E39-E40-E41-E42-E43-E44-E45-E46-E47-E48-E49-E50-E51-E52-E53-E54-E55-E56)*D10/12)</f>
        <v>0</v>
      </c>
      <c r="G57" s="18">
        <v>0</v>
      </c>
      <c r="H57" s="18">
        <v>0</v>
      </c>
      <c r="I57" s="18">
        <v>0</v>
      </c>
      <c r="J57" s="18">
        <v>0</v>
      </c>
      <c r="K57" s="18">
        <f t="shared" si="2"/>
        <v>0</v>
      </c>
      <c r="L57" s="18">
        <v>0</v>
      </c>
      <c r="M57" s="18">
        <v>0</v>
      </c>
      <c r="N57" s="18">
        <v>0</v>
      </c>
      <c r="O57" s="18">
        <v>0</v>
      </c>
      <c r="P57" s="18" t="s">
        <v>12</v>
      </c>
      <c r="Q57" s="21" t="s">
        <v>12</v>
      </c>
    </row>
    <row r="58" spans="2:17" x14ac:dyDescent="0.3">
      <c r="B58" s="20">
        <v>45745</v>
      </c>
      <c r="C58" s="17">
        <f t="shared" si="0"/>
        <v>29</v>
      </c>
      <c r="D58" s="18">
        <f t="shared" si="1"/>
        <v>0</v>
      </c>
      <c r="E58" s="18">
        <f>IF(E18+E19+E20+E21+E22+E23+E24+E25+E26+E27+E28+E29+E30+E31+E32+E33+E34+E35+E36+E37+E38+E39+E40+E41+E42+E43+E44+E45+E46+E47+E48+E49+E50+E51+E52+E53+E54+E55+E56+E57&gt;=D6,0,(((D6*(D10/12*(1+D10/12)^D8)/((1+D10/12)^D8-1)))-F58))</f>
        <v>0</v>
      </c>
      <c r="F58" s="18">
        <f>((D6-E18-E19-E20-E21-E22-E23-E24-E25-E26-E27-E28-E29-E30-E31-E32-E33-E34-E35-E36-E37-E38-E39-E40-E41-E42-E43-E44-E45-E46-E47-E48-E49-E50-E51-E52-E53-E54-E55-E56-E57)*D10/12)</f>
        <v>0</v>
      </c>
      <c r="G58" s="18">
        <v>0</v>
      </c>
      <c r="H58" s="18">
        <v>0</v>
      </c>
      <c r="I58" s="18">
        <v>0</v>
      </c>
      <c r="J58" s="18">
        <v>0</v>
      </c>
      <c r="K58" s="18">
        <f t="shared" si="2"/>
        <v>0</v>
      </c>
      <c r="L58" s="18">
        <v>0</v>
      </c>
      <c r="M58" s="18">
        <v>0</v>
      </c>
      <c r="N58" s="18">
        <v>0</v>
      </c>
      <c r="O58" s="18">
        <v>0</v>
      </c>
      <c r="P58" s="18" t="s">
        <v>12</v>
      </c>
      <c r="Q58" s="21" t="s">
        <v>12</v>
      </c>
    </row>
    <row r="59" spans="2:17" x14ac:dyDescent="0.3">
      <c r="B59" s="20">
        <v>45776</v>
      </c>
      <c r="C59" s="17">
        <f t="shared" si="0"/>
        <v>31</v>
      </c>
      <c r="D59" s="18">
        <f t="shared" si="1"/>
        <v>0</v>
      </c>
      <c r="E59" s="18">
        <f>IF(E18+E19+E20+E21+E22+E23+E24+E25+E26+E27+E28+E29+E30+E31+E32+E33+E34+E35+E36+E37+E38+E39+E40+E41+E42+E43+E44+E45+E46+E47+E48+E49+E50+E51+E52+E53+E54+E55+E56+E57+E58&gt;=D6,0,(((D6*(D10/12*(1+D10/12)^D8)/((1+D10/12)^D8-1)))-F59))</f>
        <v>0</v>
      </c>
      <c r="F59" s="18">
        <f>((D6-E18-E19-E20-E21-E22-E23-E24-E25-E26-E27-E28-E29-E30-E31-E32-E33-E34-E35-E36-E37-E38-E39-E40-E41-E42-E43-E44-E45-E46-E47-E48-E49-E50-E51-E52-E53-E54-E55-E56-E57-E58)*D10/12)</f>
        <v>0</v>
      </c>
      <c r="G59" s="18">
        <v>0</v>
      </c>
      <c r="H59" s="18">
        <v>0</v>
      </c>
      <c r="I59" s="18">
        <v>0</v>
      </c>
      <c r="J59" s="18">
        <v>0</v>
      </c>
      <c r="K59" s="18">
        <f t="shared" si="2"/>
        <v>0</v>
      </c>
      <c r="L59" s="18">
        <v>0</v>
      </c>
      <c r="M59" s="18">
        <v>0</v>
      </c>
      <c r="N59" s="18">
        <v>0</v>
      </c>
      <c r="O59" s="18">
        <v>0</v>
      </c>
      <c r="P59" s="18" t="s">
        <v>12</v>
      </c>
      <c r="Q59" s="21" t="s">
        <v>12</v>
      </c>
    </row>
    <row r="60" spans="2:17" x14ac:dyDescent="0.3">
      <c r="B60" s="20">
        <v>45806</v>
      </c>
      <c r="C60" s="17">
        <f t="shared" si="0"/>
        <v>30</v>
      </c>
      <c r="D60" s="18">
        <f t="shared" si="1"/>
        <v>0</v>
      </c>
      <c r="E60" s="18">
        <f>IF(E18+E19+E20+E21+E22+E23+E24+E25+E26+E27+E28+E29+E30+E31+E32+E33+E34+E35+E36+E37+E38+E39+E40+E41+E42+E43+E44+E45+E46+E47+E48+E49+E50+E51+E52+E53+E54+E55+E56+E57+E58+E59&gt;=D6,0,(((D6*(D10/12*(1+D10/12)^D8)/((1+D10/12)^D8-1)))-F60))</f>
        <v>0</v>
      </c>
      <c r="F60" s="18">
        <f>((D6-E18-E19-E20-E21-E22-E23-E24-E25-E26-E27-E28-E29-E30-E31-E32-E33-E34-E35-E36-E37-E38-E39-E40-E41-E42-E43-E44-E45-E46-E47-E48-E49-E50-E51-E52-E53-E54-E55-E56-E57-E58-E59)*D10/12)</f>
        <v>0</v>
      </c>
      <c r="G60" s="18">
        <v>0</v>
      </c>
      <c r="H60" s="18">
        <v>0</v>
      </c>
      <c r="I60" s="18">
        <v>0</v>
      </c>
      <c r="J60" s="18">
        <v>0</v>
      </c>
      <c r="K60" s="18">
        <f t="shared" si="2"/>
        <v>0</v>
      </c>
      <c r="L60" s="18">
        <v>0</v>
      </c>
      <c r="M60" s="18">
        <v>0</v>
      </c>
      <c r="N60" s="18">
        <v>0</v>
      </c>
      <c r="O60" s="18">
        <v>0</v>
      </c>
      <c r="P60" s="18" t="s">
        <v>12</v>
      </c>
      <c r="Q60" s="21" t="s">
        <v>12</v>
      </c>
    </row>
    <row r="61" spans="2:17" x14ac:dyDescent="0.3">
      <c r="B61" s="20">
        <v>45837</v>
      </c>
      <c r="C61" s="17">
        <f t="shared" si="0"/>
        <v>31</v>
      </c>
      <c r="D61" s="18">
        <f t="shared" si="1"/>
        <v>0</v>
      </c>
      <c r="E61" s="18">
        <f>IF(E18+E19+E20+E21+E22+E23+E24+E25+E26+E27+E28+E29+E30+E31+E32+E33+E34+E35+E36+E37+E38+E39+E40+E41+E42+E43+E44+E45+E46+E47+E48+E49+E50+E51+E52+E53+E54+E55+E56+E57+E58+E59+E60&gt;=D6,0,(((D6*(D10/12*(1+D10/12)^D8)/((1+D10/12)^D8-1)))-F61))</f>
        <v>0</v>
      </c>
      <c r="F61" s="18">
        <f>((D6-E18-E19-E20-E21-E22-E23-E24-E25-E26-E27-E28-E29-E30-E31-E32-E33-E34-E35-E36-E37-E38-E39-E40-E41-E42-E43-E44-E45-E46-E47-E48-E49-E50-E51-E52-E53-E54-E55-E56-E57-E58-E59-E60)*D10/12)</f>
        <v>0</v>
      </c>
      <c r="G61" s="18">
        <v>0</v>
      </c>
      <c r="H61" s="18">
        <v>0</v>
      </c>
      <c r="I61" s="18">
        <v>0</v>
      </c>
      <c r="J61" s="18">
        <v>0</v>
      </c>
      <c r="K61" s="18">
        <f t="shared" si="2"/>
        <v>0</v>
      </c>
      <c r="L61" s="18">
        <v>0</v>
      </c>
      <c r="M61" s="18">
        <v>0</v>
      </c>
      <c r="N61" s="18">
        <v>0</v>
      </c>
      <c r="O61" s="18">
        <v>0</v>
      </c>
      <c r="P61" s="18" t="s">
        <v>12</v>
      </c>
      <c r="Q61" s="21" t="s">
        <v>12</v>
      </c>
    </row>
    <row r="62" spans="2:17" x14ac:dyDescent="0.3">
      <c r="B62" s="20">
        <v>45867</v>
      </c>
      <c r="C62" s="17">
        <f t="shared" si="0"/>
        <v>30</v>
      </c>
      <c r="D62" s="18">
        <f t="shared" si="1"/>
        <v>0</v>
      </c>
      <c r="E62" s="18">
        <f>IF(E18+E19+E20+E21+E22+E23+E24+E25+E26+E27+E28+E29+E30+E31+E32+E33+E34+E35+E36+E37+E38+E39+E40+E41+E42+E43+E44+E45+E46+E47+E48+E49+E50+E51+E52+E53+E54+E55+E56+E57+E58+E59+E60+E61&gt;=D6,0,(((D6*(D10/12*(1+D10/12)^D8)/((1+D10/12)^D8-1)))-F62))</f>
        <v>0</v>
      </c>
      <c r="F62" s="18">
        <f>((D6-E18-E19-E20-E21-E22-E23-E24-E25-E26-E27-E28-E29-E30-E31-E32-E33-E34-E35-E36-E37-E38-E39-E40-E41-E42-E43-E44-E45-E46-E47-E48-E49-E50-E51-E52-E53-E54-E55-E56-E57-E58-E59-E60-E61)*D10/12)</f>
        <v>0</v>
      </c>
      <c r="G62" s="18">
        <v>0</v>
      </c>
      <c r="H62" s="18">
        <v>0</v>
      </c>
      <c r="I62" s="18">
        <v>0</v>
      </c>
      <c r="J62" s="18">
        <v>0</v>
      </c>
      <c r="K62" s="18">
        <f t="shared" si="2"/>
        <v>0</v>
      </c>
      <c r="L62" s="18">
        <v>0</v>
      </c>
      <c r="M62" s="18">
        <v>0</v>
      </c>
      <c r="N62" s="18">
        <v>0</v>
      </c>
      <c r="O62" s="18">
        <v>0</v>
      </c>
      <c r="P62" s="18" t="s">
        <v>12</v>
      </c>
      <c r="Q62" s="21" t="s">
        <v>12</v>
      </c>
    </row>
    <row r="63" spans="2:17" x14ac:dyDescent="0.3">
      <c r="B63" s="20">
        <v>45898</v>
      </c>
      <c r="C63" s="17">
        <f t="shared" si="0"/>
        <v>31</v>
      </c>
      <c r="D63" s="18">
        <f t="shared" si="1"/>
        <v>0</v>
      </c>
      <c r="E63" s="18">
        <f>IF(E18+E19+E20+E21+E22+E23+E24+E25+E26+E27+E28+E29+E30+E31+E32+E33+E34+E35+E36+E37+E38+E39+E40+E41+E42+E43+E44+E45+E46+E47+E48+E49+E50+E51+E52+E53+E54+E55+E56+E57+E58+E59+E60+E61+E62&gt;=D6,0,(((D6*(D10/12*(1+D10/12)^D8)/((1+D10/12)^D8-1)))-F63))</f>
        <v>0</v>
      </c>
      <c r="F63" s="18">
        <f>((D6-E18-E19-E20-E21-E22-E23-E24-E25-E26-E27-E28-E29-E30-E31-E32-E33-E34-E35-E36-E37-E38-E39-E40-E41-E42-E43-E44-E45-E46-E47-E48-E49-E50-E51-E52-E53-E54-E55-E56-E57-E58-E59-E60-E61-E62)*D10/12)</f>
        <v>0</v>
      </c>
      <c r="G63" s="18">
        <v>0</v>
      </c>
      <c r="H63" s="18">
        <v>0</v>
      </c>
      <c r="I63" s="18">
        <v>0</v>
      </c>
      <c r="J63" s="18">
        <v>0</v>
      </c>
      <c r="K63" s="18">
        <f t="shared" si="2"/>
        <v>0</v>
      </c>
      <c r="L63" s="18">
        <v>0</v>
      </c>
      <c r="M63" s="18">
        <v>0</v>
      </c>
      <c r="N63" s="18">
        <v>0</v>
      </c>
      <c r="O63" s="18">
        <v>0</v>
      </c>
      <c r="P63" s="18" t="s">
        <v>12</v>
      </c>
      <c r="Q63" s="21" t="s">
        <v>12</v>
      </c>
    </row>
    <row r="64" spans="2:17" x14ac:dyDescent="0.3">
      <c r="B64" s="20">
        <v>45929</v>
      </c>
      <c r="C64" s="17">
        <f t="shared" si="0"/>
        <v>31</v>
      </c>
      <c r="D64" s="18">
        <f t="shared" si="1"/>
        <v>0</v>
      </c>
      <c r="E64" s="18">
        <f>IF(E18+E19+E20+E21+E22+E23+E24+E25+E26+E27+E28+E29+E30+E31+E32+E33+E34+E35+E36+E37+E38+E39+E40+E41+E42+E43+E44+E45+E46+E47+E48+E49+E50+E51+E52+E53+E54+E55+E56+E57+E58+E59+E60+E61+E62+E63&gt;=D6,0,(((D6*(D10/12*(1+D10/12)^D8)/((1+D10/12)^D8-1)))-F64))</f>
        <v>0</v>
      </c>
      <c r="F64" s="18">
        <f>((D6-E18-E19-E20-E21-E22-E23-E24-E25-E26-E27-E28-E29-E30-E31-E32-E33-E34-E35-E36-E37-E38-E39-E40-E41-E42-E43-E44-E45-E46-E47-E48-E49-E50-E51-E52-E53-E54-E55-E56-E57-E58-E59-E60-E61-E62-E63)*D10/12)</f>
        <v>0</v>
      </c>
      <c r="G64" s="18">
        <v>0</v>
      </c>
      <c r="H64" s="18">
        <v>0</v>
      </c>
      <c r="I64" s="18">
        <v>0</v>
      </c>
      <c r="J64" s="18">
        <v>0</v>
      </c>
      <c r="K64" s="18">
        <f t="shared" si="2"/>
        <v>0</v>
      </c>
      <c r="L64" s="18">
        <v>0</v>
      </c>
      <c r="M64" s="18">
        <v>0</v>
      </c>
      <c r="N64" s="18">
        <v>0</v>
      </c>
      <c r="O64" s="18">
        <v>0</v>
      </c>
      <c r="P64" s="18" t="s">
        <v>12</v>
      </c>
      <c r="Q64" s="21" t="s">
        <v>12</v>
      </c>
    </row>
    <row r="65" spans="2:17" x14ac:dyDescent="0.3">
      <c r="B65" s="20">
        <v>45959</v>
      </c>
      <c r="C65" s="17">
        <f t="shared" si="0"/>
        <v>30</v>
      </c>
      <c r="D65" s="18">
        <f t="shared" si="1"/>
        <v>0</v>
      </c>
      <c r="E65" s="18">
        <f>IF(E18+E19+E20+E21+E22+E23+E24+E25+E26+E27+E28+E29+E30+E31+E32+E33+E34+E35+E36+E37+E38+E39+E40+E41+E42+E43+E44+E45+E46+E47+E48+E49+E50+E51+E52+E53+E54+E55+E56+E57+E58+E59+E60+E61+E62+E63+E64&gt;=D6,0,(((D6*(D10/12*(1+D10/12)^D8)/((1+D10/12)^D8-1)))-F65))</f>
        <v>0</v>
      </c>
      <c r="F65" s="18">
        <f>((D6-E18-E19-E20-E21-E22-E23-E24-E25-E26-E27-E28-E29-E30-E31-E32-E33-E34-E35-E36-E37-E38-E39-E40-E41-E42-E43-E44-E45-E46-E47-E48-E49-E50-E51-E52-E53-E54-E55-E56-E57-E58-E59-E60-E61-E62-E63-E64)*D10/12)</f>
        <v>0</v>
      </c>
      <c r="G65" s="18">
        <v>0</v>
      </c>
      <c r="H65" s="18">
        <v>0</v>
      </c>
      <c r="I65" s="18">
        <v>0</v>
      </c>
      <c r="J65" s="18">
        <v>0</v>
      </c>
      <c r="K65" s="18">
        <f t="shared" si="2"/>
        <v>0</v>
      </c>
      <c r="L65" s="18">
        <v>0</v>
      </c>
      <c r="M65" s="18">
        <v>0</v>
      </c>
      <c r="N65" s="18">
        <v>0</v>
      </c>
      <c r="O65" s="18">
        <v>0</v>
      </c>
      <c r="P65" s="18" t="s">
        <v>12</v>
      </c>
      <c r="Q65" s="21" t="s">
        <v>12</v>
      </c>
    </row>
    <row r="66" spans="2:17" x14ac:dyDescent="0.3">
      <c r="B66" s="20">
        <v>45990</v>
      </c>
      <c r="C66" s="17">
        <f t="shared" si="0"/>
        <v>31</v>
      </c>
      <c r="D66" s="18">
        <f t="shared" si="1"/>
        <v>0</v>
      </c>
      <c r="E66" s="18">
        <f>IF(E18+E19+E20+E21+E22+E23+E24+E25+E26+E27+E28+E29+E30+E31+E32+E33+E34+E35+E36+E37+E38+E39+E40+E41+E42+E43+E44+E45+E46+E47+E48+E49+E50+E51+E52+E53+E54+E55+E56+E57+E58+E59+E60+E61+E62+E63+E64+E65&gt;=D6,0,(((D6*(D10/12*(1+D10/12)^D8)/((1+D10/12)^D8-1)))-F66))</f>
        <v>0</v>
      </c>
      <c r="F66" s="18">
        <f>((D6-E18-E19-E20-E21-E22-E23-E24-E25-E26-E27-E28-E29-E30-E31-E32-E33-E34-E35-E36-E37-E38-E39-E40-E41-E42-E43-E44-E45-E46-E47-E48-E49-E50-E51-E52-E53-E54-E55-E56-E57-E58-E59-E60-E61-E62-E63-E64-E65)*D10/12)</f>
        <v>0</v>
      </c>
      <c r="G66" s="18">
        <v>0</v>
      </c>
      <c r="H66" s="18">
        <v>0</v>
      </c>
      <c r="I66" s="18">
        <v>0</v>
      </c>
      <c r="J66" s="18">
        <v>0</v>
      </c>
      <c r="K66" s="18">
        <f t="shared" si="2"/>
        <v>0</v>
      </c>
      <c r="L66" s="18">
        <v>0</v>
      </c>
      <c r="M66" s="18">
        <v>0</v>
      </c>
      <c r="N66" s="18">
        <f>IF(E66&gt;0,SUM(E54:E77)*0.05,0)</f>
        <v>0</v>
      </c>
      <c r="O66" s="18">
        <v>0</v>
      </c>
      <c r="P66" s="18" t="s">
        <v>12</v>
      </c>
      <c r="Q66" s="21" t="s">
        <v>12</v>
      </c>
    </row>
    <row r="67" spans="2:17" x14ac:dyDescent="0.3">
      <c r="B67" s="20">
        <v>46020</v>
      </c>
      <c r="C67" s="17">
        <f t="shared" si="0"/>
        <v>30</v>
      </c>
      <c r="D67" s="18">
        <f t="shared" si="1"/>
        <v>0</v>
      </c>
      <c r="E67" s="18">
        <f>IF(E18+E19+E20+E21+E22+E23+E24+E25+E26+E27+E28+E29+E30+E31+E32+E33+E34+E35+E36+E37+E38+E39+E40+E41+E42+E43+E44+E45+E46+E47+E48+E49+E50+E51+E52+E53+E54+E55+E56+E57+E58+E59+E60+E61+E62+E63+E64+E65+E66&gt;=D6,0,(((D6*(D10/12*(1+D10/12)^D8)/((1+D10/12)^D8-1)))-F67))</f>
        <v>0</v>
      </c>
      <c r="F67" s="18">
        <f>((D6-E18-E19-E20-E21-E22-E23-E24-E25-E26-E27-E28-E29-E30-E31-E32-E33-E34-E35-E36-E37-E38-E39-E40-E41-E42-E43-E44-E45-E46-E47-E48-E49-E50-E51-E52-E53-E54-E55-E56-E57-E58-E59-E60-E61-E62-E63-E64-E65-E66)*D10/12)</f>
        <v>0</v>
      </c>
      <c r="G67" s="18">
        <v>0</v>
      </c>
      <c r="H67" s="18">
        <v>0</v>
      </c>
      <c r="I67" s="18">
        <v>0</v>
      </c>
      <c r="J67" s="18">
        <v>0</v>
      </c>
      <c r="K67" s="18">
        <f t="shared" si="2"/>
        <v>0</v>
      </c>
      <c r="L67" s="18">
        <v>0</v>
      </c>
      <c r="M67" s="18">
        <v>0</v>
      </c>
      <c r="N67" s="18">
        <v>0</v>
      </c>
      <c r="O67" s="18">
        <v>0</v>
      </c>
      <c r="P67" s="18" t="s">
        <v>12</v>
      </c>
      <c r="Q67" s="21" t="s">
        <v>12</v>
      </c>
    </row>
    <row r="68" spans="2:17" x14ac:dyDescent="0.3">
      <c r="B68" s="20">
        <v>46051</v>
      </c>
      <c r="C68" s="17">
        <f t="shared" si="0"/>
        <v>31</v>
      </c>
      <c r="D68" s="18">
        <f t="shared" si="1"/>
        <v>0</v>
      </c>
      <c r="E68" s="18">
        <f>IF(E18+E19+E20+E21+E22+E23+E24+E25+E26+E27+E28+E29+E30+E31+E32+E33+E34+E35+E36+E37+E38+E39+E40+E41+E42+E43+E44+E45+E46+E47+E48+E49+E50+E51+E52+E53+E54+E55+E56+E57+E58+E59+E60+E61+E62+E63+E64+E65+E66+E67&gt;=D6,0,(((D6*(D10/12*(1+D10/12)^D8)/((1+D10/12)^D8-1)))-F68))</f>
        <v>0</v>
      </c>
      <c r="F68" s="18">
        <f>((D6-E18-E19-E20-E21-E22-E23-E24-E25-E26-E27-E28-E29-E30-E31-E32-E33-E34-E35-E36-E37-E38-E39-E40-E41-E42-E43-E44-E45-E46-E47-E48-E49-E50-E51-E52-E53-E54-E55-E56-E57-E58-E59-E60-E61-E62-E63-E64-E65-E66-E67)*D10/12)</f>
        <v>0</v>
      </c>
      <c r="G68" s="18">
        <v>0</v>
      </c>
      <c r="H68" s="18">
        <v>0</v>
      </c>
      <c r="I68" s="18">
        <v>0</v>
      </c>
      <c r="J68" s="18">
        <v>0</v>
      </c>
      <c r="K68" s="18">
        <f t="shared" si="2"/>
        <v>0</v>
      </c>
      <c r="L68" s="18">
        <v>0</v>
      </c>
      <c r="M68" s="18">
        <v>0</v>
      </c>
      <c r="N68" s="18">
        <v>0</v>
      </c>
      <c r="O68" s="18">
        <v>0</v>
      </c>
      <c r="P68" s="18" t="s">
        <v>12</v>
      </c>
      <c r="Q68" s="21" t="s">
        <v>12</v>
      </c>
    </row>
    <row r="69" spans="2:17" x14ac:dyDescent="0.3">
      <c r="B69" s="20">
        <v>46081</v>
      </c>
      <c r="C69" s="17">
        <f t="shared" si="0"/>
        <v>30</v>
      </c>
      <c r="D69" s="18">
        <f t="shared" si="1"/>
        <v>0</v>
      </c>
      <c r="E69" s="18">
        <f>IF(E18+E19+E20+E21+E22+E23+E24+E25+E26+E27+E28+E29+E30+E31+E32+E33+E34+E35+E36+E37+E38+E39+E40+E41+E42+E43+E44+E45+E46+E47+E48+E49+E50+E51+E52+E53+E54+E55+E56+E57+E58+E59+E60+E61+E62+E63+E64+E65+E66+E67+E68&gt;=D6,0,(((D6*(D10/12*(1+D10/12)^D8)/((1+D10/12)^D8-1)))-F69))</f>
        <v>0</v>
      </c>
      <c r="F69" s="18">
        <f>((D6-E18-E19-E20-E21-E22-E23-E24-E25-E26-E27-E28-E29-E30-E31-E32-E33-E34-E35-E36-E37-E38-E39-E40-E41-E42-E43-E44-E45-E46-E47-E48-E49-E50-E51-E52-E53-E54-E55-E56-E57-E58-E59-E60-E61-E62-E63-E64-E65-E66-E67-E68)*D10/12)</f>
        <v>0</v>
      </c>
      <c r="G69" s="18">
        <v>0</v>
      </c>
      <c r="H69" s="18">
        <v>0</v>
      </c>
      <c r="I69" s="18">
        <v>0</v>
      </c>
      <c r="J69" s="18">
        <v>0</v>
      </c>
      <c r="K69" s="18">
        <f t="shared" si="2"/>
        <v>0</v>
      </c>
      <c r="L69" s="18">
        <v>0</v>
      </c>
      <c r="M69" s="18">
        <v>0</v>
      </c>
      <c r="N69" s="18">
        <v>0</v>
      </c>
      <c r="O69" s="18">
        <v>0</v>
      </c>
      <c r="P69" s="18" t="s">
        <v>12</v>
      </c>
      <c r="Q69" s="21" t="s">
        <v>12</v>
      </c>
    </row>
    <row r="70" spans="2:17" x14ac:dyDescent="0.3">
      <c r="B70" s="20">
        <v>46110</v>
      </c>
      <c r="C70" s="17">
        <f t="shared" si="0"/>
        <v>29</v>
      </c>
      <c r="D70" s="18">
        <f t="shared" si="1"/>
        <v>0</v>
      </c>
      <c r="E70" s="18">
        <f>IF(E18+E19+E20+E21+E22+E23+E24+E25+E26+E27+E28+E29+E30+E31+E32+E33+E34+E35+E36+E37+E38+E39+E40+E41+E42+E43+E44+E45+E46+E47+E48+E49+E50+E51+E52+E53+E54+E55+E56+E57+E58+E59+E60+E61+E62+E63+E64+E65+E66+E67+E68+E69&gt;=D6,0,(((D6*(D10/12*(1+D10/12)^D8)/((1+D10/12)^D8-1)))-F70))</f>
        <v>0</v>
      </c>
      <c r="F70" s="18">
        <f>((D6-E18-E19-E20-E21-E22-E23-E24-E25-E26-E27-E28-E29-E30-E31-E32-E33-E34-E35-E36-E37-E38-E39-E40-E41-E42-E43-E44-E45-E46-E47-E48-E49-E50-E51-E52-E53-E54-E55-E56-E57-E58-E59-E60-E61-E62-E63-E64-E65-E66-E67-E68-E69)*D10/12)</f>
        <v>0</v>
      </c>
      <c r="G70" s="18">
        <v>0</v>
      </c>
      <c r="H70" s="18">
        <v>0</v>
      </c>
      <c r="I70" s="18">
        <v>0</v>
      </c>
      <c r="J70" s="18">
        <v>0</v>
      </c>
      <c r="K70" s="18">
        <f t="shared" si="2"/>
        <v>0</v>
      </c>
      <c r="L70" s="18">
        <v>0</v>
      </c>
      <c r="M70" s="18">
        <v>0</v>
      </c>
      <c r="N70" s="18">
        <v>0</v>
      </c>
      <c r="O70" s="18">
        <v>0</v>
      </c>
      <c r="P70" s="18" t="s">
        <v>12</v>
      </c>
      <c r="Q70" s="21" t="s">
        <v>12</v>
      </c>
    </row>
    <row r="71" spans="2:17" x14ac:dyDescent="0.3">
      <c r="B71" s="20">
        <v>46141</v>
      </c>
      <c r="C71" s="17">
        <f t="shared" si="0"/>
        <v>31</v>
      </c>
      <c r="D71" s="18">
        <f t="shared" si="1"/>
        <v>0</v>
      </c>
      <c r="E71" s="18">
        <f>IF(E18+E19+E20+E21+E22+E23+E24+E25+E26+E27+E28+E29+E30+E31+E32+E33+E34+E35+E36+E37+E38+E39+E40+E41+E42+E43+E44+E45+E46+E47+E48+E49+E50+E51+E52+E53+E54+E55+E56+E57+E58+E59+E60+E61+E62+E63+E64+E65+E66+E67+E68+E69+E70&gt;=D6,0,(((D6*(D10/12*(1+D10/12)^D8)/((1+D10/12)^D8-1)))-F71))</f>
        <v>0</v>
      </c>
      <c r="F71" s="18">
        <f>((D6-E18-E19-E20-E21-E22-E23-E24-E25-E26-E27-E28-E29-E30-E31-E32-E33-E34-E35-E36-E37-E38-E39-E40-E41-E42-E43-E44-E45-E46-E47-E48-E49-E50-E51-E52-E53-E54-E55-E56-E57-E58-E59-E60-E61-E62-E63-E64-E65-E66-E67-E68-E69-E70)*D10/12)</f>
        <v>0</v>
      </c>
      <c r="G71" s="18">
        <v>0</v>
      </c>
      <c r="H71" s="18">
        <v>0</v>
      </c>
      <c r="I71" s="18">
        <v>0</v>
      </c>
      <c r="J71" s="18">
        <v>0</v>
      </c>
      <c r="K71" s="18">
        <f t="shared" si="2"/>
        <v>0</v>
      </c>
      <c r="L71" s="18">
        <v>0</v>
      </c>
      <c r="M71" s="18">
        <v>0</v>
      </c>
      <c r="N71" s="18">
        <v>0</v>
      </c>
      <c r="O71" s="18">
        <v>0</v>
      </c>
      <c r="P71" s="18" t="s">
        <v>12</v>
      </c>
      <c r="Q71" s="21" t="s">
        <v>12</v>
      </c>
    </row>
    <row r="72" spans="2:17" x14ac:dyDescent="0.3">
      <c r="B72" s="20">
        <v>46171</v>
      </c>
      <c r="C72" s="17">
        <f t="shared" si="0"/>
        <v>30</v>
      </c>
      <c r="D72" s="18">
        <f t="shared" si="1"/>
        <v>0</v>
      </c>
      <c r="E72" s="18">
        <f>IF(E18+E19+E20+E21+E22+E23+E24+E25+E26+E27+E28+E29+E30+E31+E32+E33+E34+E35+E36+E37+E38+E39+E40+E41+E42+E43+E44+E45+E46+E47+E48+E49+E50+E51+E52+E53+E54+E55+E56+E57+E58+E59+E60+E61+E62+E63+E64+E65+E66+E67+E68+E69+E70+E71&gt;=D6,0,(((D6*(D10/12*(1+D10/12)^D8)/((1+D10/12)^D8-1)))-F72))</f>
        <v>0</v>
      </c>
      <c r="F72" s="18">
        <f>((D6-E18-E19-E20-E21-E22-E23-E24-E25-E26-E27-E28-E29-E30-E31-E32-E33-E34-E35-E36-E37-E38-E39-E40-E41-E42-E43-E44-E45-E46-E47-E48-E49-E50-E51-E52-E53-E54-E55-E56-E57-E58-E59-E60-E61-E62-E63-E64-E65-E66-E67-E68-E69-E70-E71)*D10/12)</f>
        <v>0</v>
      </c>
      <c r="G72" s="18">
        <v>0</v>
      </c>
      <c r="H72" s="18">
        <v>0</v>
      </c>
      <c r="I72" s="18">
        <v>0</v>
      </c>
      <c r="J72" s="18">
        <v>0</v>
      </c>
      <c r="K72" s="18">
        <f t="shared" si="2"/>
        <v>0</v>
      </c>
      <c r="L72" s="18">
        <v>0</v>
      </c>
      <c r="M72" s="18">
        <v>0</v>
      </c>
      <c r="N72" s="18">
        <v>0</v>
      </c>
      <c r="O72" s="18">
        <v>0</v>
      </c>
      <c r="P72" s="18" t="s">
        <v>12</v>
      </c>
      <c r="Q72" s="21" t="s">
        <v>12</v>
      </c>
    </row>
    <row r="73" spans="2:17" x14ac:dyDescent="0.3">
      <c r="B73" s="20">
        <v>46202</v>
      </c>
      <c r="C73" s="17">
        <f t="shared" si="0"/>
        <v>31</v>
      </c>
      <c r="D73" s="18">
        <f t="shared" si="1"/>
        <v>0</v>
      </c>
      <c r="E73" s="18">
        <f>IF(E18+E19+E20+E21+E22+E23+E24+E25+E26+E27+E28+E29+E30+E31+E32+E33+E34+E35+E36+E37+E38+E39+E40+E41+E42+E43+E44+E45+E46+E47+E48+E49+E50+E51+E52+E53+E54+E55+E56+E57+E58+E59+E60+E61+E62+E63+E64+E65+E66+E67+E68+E69+E70+E71+E72&gt;=D6,0,(((D6*(D10/12*(1+D10/12)^D8)/((1+D10/12)^D8-1)))-F73))</f>
        <v>0</v>
      </c>
      <c r="F73" s="18">
        <f>((D6-E18-E19-E20-E21-E22-E23-E24-E25-E26-E27-E28-E29-E30-E31-E32-E33-E34-E35-E36-E37-E38-E39-E40-E41-E42-E43-E44-E45-E46-E47-E48-E49-E50-E51-E52-E53-E54-E55-E56-E57-E58-E59-E60-E61-E62-E63-E64-E65-E66-E67-E68-E69-E70-E71-E72)*D10/12)</f>
        <v>0</v>
      </c>
      <c r="G73" s="18">
        <v>0</v>
      </c>
      <c r="H73" s="18">
        <v>0</v>
      </c>
      <c r="I73" s="18">
        <v>0</v>
      </c>
      <c r="J73" s="18">
        <v>0</v>
      </c>
      <c r="K73" s="18">
        <f t="shared" si="2"/>
        <v>0</v>
      </c>
      <c r="L73" s="18">
        <v>0</v>
      </c>
      <c r="M73" s="18">
        <v>0</v>
      </c>
      <c r="N73" s="18">
        <v>0</v>
      </c>
      <c r="O73" s="18">
        <v>0</v>
      </c>
      <c r="P73" s="18" t="s">
        <v>12</v>
      </c>
      <c r="Q73" s="21" t="s">
        <v>12</v>
      </c>
    </row>
    <row r="74" spans="2:17" x14ac:dyDescent="0.3">
      <c r="B74" s="20">
        <v>46232</v>
      </c>
      <c r="C74" s="17">
        <f t="shared" si="0"/>
        <v>30</v>
      </c>
      <c r="D74" s="18">
        <f t="shared" si="1"/>
        <v>0</v>
      </c>
      <c r="E74" s="18">
        <f>IF(E18+E19+E20+E21+E22+E23+E24+E25+E26+E27+E28+E29+E30+E31+E32+E33+E34+E35+E36+E37+E38+E39+E40+E41+E42+E43+E44+E45+E46+E47+E48+E49+E50+E51+E52+E53+E54+E55+E56+E57+E58+E59+E60+E61+E62+E63+E64+E65+E66+E67+E68+E69+E70+E71+E72+E73&gt;=D6,0,(((D6*(D10/12*(1+D10/12)^D8)/((1+D10/12)^D8-1)))-F74))</f>
        <v>0</v>
      </c>
      <c r="F74" s="18">
        <f>((D6-E18-E19-E20-E21-E22-E23-E24-E25-E26-E27-E28-E29-E30-E31-E32-E33-E34-E35-E36-E37-E38-E39-E40-E41-E42-E43-E44-E45-E46-E47-E48-E49-E50-E51-E52-E53-E54-E55-E56-E57-E58-E59-E60-E61-E62-E63-E64-E65-E66-E67-E68-E69-E70-E71-E72-E73)*D10/12)</f>
        <v>0</v>
      </c>
      <c r="G74" s="18">
        <v>0</v>
      </c>
      <c r="H74" s="18">
        <v>0</v>
      </c>
      <c r="I74" s="18">
        <v>0</v>
      </c>
      <c r="J74" s="18">
        <v>0</v>
      </c>
      <c r="K74" s="18">
        <f t="shared" si="2"/>
        <v>0</v>
      </c>
      <c r="L74" s="18">
        <v>0</v>
      </c>
      <c r="M74" s="18">
        <v>0</v>
      </c>
      <c r="N74" s="18">
        <v>0</v>
      </c>
      <c r="O74" s="18">
        <v>0</v>
      </c>
      <c r="P74" s="18" t="s">
        <v>12</v>
      </c>
      <c r="Q74" s="21" t="s">
        <v>12</v>
      </c>
    </row>
    <row r="75" spans="2:17" x14ac:dyDescent="0.3">
      <c r="B75" s="20">
        <v>46263</v>
      </c>
      <c r="C75" s="17">
        <f t="shared" si="0"/>
        <v>31</v>
      </c>
      <c r="D75" s="18">
        <f t="shared" si="1"/>
        <v>0</v>
      </c>
      <c r="E75" s="18">
        <f>IF(E18+E19+E20+E21+E22+E23+E24+E25+E26+E27+E28+E29+E30+E31+E32+E33+E34+E35+E36+E37+E38+E39+E40+E41+E42+E43+E44+E45+E46+E47+E48+E49+E50+E51+E52+E53+E54+E55+E56+E57+E58+E59+E60+E61+E62+E63+E64+E65+E66+E67+E68+E69+E70+E71+E72+E73+E74&gt;=D6,0,(((D6*(D10/12*(1+D10/12)^D8)/((1+D10/12)^D8-1)))-F75))</f>
        <v>0</v>
      </c>
      <c r="F75" s="18">
        <f>((D6-E18-E19-E20-E21-E22-E23-E24-E25-E26-E27-E28-E29-E30-E31-E32-E33-E34-E35-E36-E37-E38-E39-E40-E41-E42-E43-E44-E45-E46-E47-E48-E49-E50-E51-E52-E53-E54-E55-E56-E57-E58-E59-E60-E61-E62-E63-E64-E65-E66-E67-E68-E69-E70-E71-E72-E73-E74)*D10/12)</f>
        <v>0</v>
      </c>
      <c r="G75" s="18">
        <v>0</v>
      </c>
      <c r="H75" s="18">
        <v>0</v>
      </c>
      <c r="I75" s="18">
        <v>0</v>
      </c>
      <c r="J75" s="18">
        <v>0</v>
      </c>
      <c r="K75" s="18">
        <f t="shared" si="2"/>
        <v>0</v>
      </c>
      <c r="L75" s="18">
        <v>0</v>
      </c>
      <c r="M75" s="18">
        <v>0</v>
      </c>
      <c r="N75" s="18">
        <v>0</v>
      </c>
      <c r="O75" s="18">
        <v>0</v>
      </c>
      <c r="P75" s="18" t="s">
        <v>12</v>
      </c>
      <c r="Q75" s="21" t="s">
        <v>12</v>
      </c>
    </row>
    <row r="76" spans="2:17" x14ac:dyDescent="0.3">
      <c r="B76" s="20">
        <v>46294</v>
      </c>
      <c r="C76" s="17">
        <f t="shared" si="0"/>
        <v>31</v>
      </c>
      <c r="D76" s="18">
        <f t="shared" si="1"/>
        <v>0</v>
      </c>
      <c r="E76" s="18">
        <f>IF(E18+E19+E20+E21+E22+E23+E24+E25+E26+E27+E28+E29+E30+E31+E32+E33+E34+E35+E36+E37+E38+E39+E40+E41+E42+E43+E44+E45+E46+E47+E48+E49+E50+E51+E52+E53+E54+E55+E56+E57+E58+E59+E60+E61+E62+E63+E64+E65+E66+E67+E68+E69+E70+E71+E72+E73+E74+E75&gt;=D6,0,(((D6*(D10/12*(1+D10/12)^D8)/((1+D10/12)^D8-1)))-F76))</f>
        <v>0</v>
      </c>
      <c r="F76" s="18">
        <f>((D6-E18-E19-E20-E21-E22-E23-E24-E25-E26-E27-E28-E29-E30-E31-E32-E33-E34-E35-E36-E37-E38-E39-E40-E41-E42-E43-E44-E45-E46-E47-E48-E49-E50-E51-E52-E53-E54-E55-E56-E57-E58-E59-E60-E61-E62-E63-E64-E65-E66-E67-E68-E69-E70-E71-E72-E73-E74-E75)*D10/12)</f>
        <v>0</v>
      </c>
      <c r="G76" s="18">
        <v>0</v>
      </c>
      <c r="H76" s="18">
        <v>0</v>
      </c>
      <c r="I76" s="18">
        <v>0</v>
      </c>
      <c r="J76" s="18">
        <v>0</v>
      </c>
      <c r="K76" s="18">
        <f t="shared" si="2"/>
        <v>0</v>
      </c>
      <c r="L76" s="18">
        <v>0</v>
      </c>
      <c r="M76" s="18">
        <v>0</v>
      </c>
      <c r="N76" s="18">
        <v>0</v>
      </c>
      <c r="O76" s="18">
        <v>0</v>
      </c>
      <c r="P76" s="18" t="s">
        <v>12</v>
      </c>
      <c r="Q76" s="21" t="s">
        <v>12</v>
      </c>
    </row>
    <row r="77" spans="2:17" x14ac:dyDescent="0.3">
      <c r="B77" s="20">
        <v>46324</v>
      </c>
      <c r="C77" s="17">
        <f t="shared" si="0"/>
        <v>30</v>
      </c>
      <c r="D77" s="18">
        <f t="shared" si="1"/>
        <v>0</v>
      </c>
      <c r="E77" s="18">
        <f>IF(E18+E19+E20+E21+E22+E23+E24+E25+E26+E27+E28+E29+E30+E31+E32+E33+E34+E35+E36+E37+E38+E39+E40+E41+E42+E43+E44+E45+E46+E47+E48+E49+E50+E51+E52+E53+E54+E55+E56+E57+E58+E59+E60+E61+E62+E63+E64+E65+E66+E67+E68+E69+E70+E71+E72+E73+E74+E75+E76&gt;=D6,0,(((D6*(D10/12*(1+D10/12)^D8)/((1+D10/12)^D8-1)))-F77))</f>
        <v>0</v>
      </c>
      <c r="F77" s="18">
        <f>((D6-E18-E19-E20-E21-E22-E23-E24-E25-E26-E27-E28-E29-E30-E31-E32-E33-E34-E35-E36-E37-E38-E39-E40-E41-E42-E43-E44-E45-E46-E47-E48-E49-E50-E51-E52-E53-E54-E55-E56-E57-E58-E59-E60-E61-E62-E63-E64-E65-E66-E67-E68-E69-E70-E71-E72-E73-E74-E75-E76)*D10/12)</f>
        <v>0</v>
      </c>
      <c r="G77" s="18">
        <v>0</v>
      </c>
      <c r="H77" s="18">
        <v>0</v>
      </c>
      <c r="I77" s="18">
        <v>0</v>
      </c>
      <c r="J77" s="18">
        <v>0</v>
      </c>
      <c r="K77" s="18">
        <f t="shared" si="2"/>
        <v>0</v>
      </c>
      <c r="L77" s="18">
        <v>0</v>
      </c>
      <c r="M77" s="18">
        <v>0</v>
      </c>
      <c r="N77" s="18">
        <v>0</v>
      </c>
      <c r="O77" s="18">
        <v>0</v>
      </c>
      <c r="P77" s="18" t="s">
        <v>12</v>
      </c>
      <c r="Q77" s="21" t="s">
        <v>12</v>
      </c>
    </row>
    <row r="78" spans="2:17" ht="16.2" thickBot="1" x14ac:dyDescent="0.35">
      <c r="B78" s="22"/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23"/>
    </row>
    <row r="79" spans="2:17" ht="16.2" thickBot="1" x14ac:dyDescent="0.35">
      <c r="B79" s="24" t="s">
        <v>17</v>
      </c>
      <c r="C79" s="25">
        <f ca="1">SUM(C18:C77)</f>
        <v>1823</v>
      </c>
      <c r="D79" s="26" t="s">
        <v>12</v>
      </c>
      <c r="E79" s="26">
        <f>SUM(E18:E77)</f>
        <v>0</v>
      </c>
      <c r="F79" s="26">
        <f t="shared" ref="F79:O79" si="3">SUM(F18:F77)</f>
        <v>0</v>
      </c>
      <c r="G79" s="26">
        <f t="shared" si="3"/>
        <v>0</v>
      </c>
      <c r="H79" s="26">
        <f t="shared" si="3"/>
        <v>0</v>
      </c>
      <c r="I79" s="26">
        <f t="shared" si="3"/>
        <v>0</v>
      </c>
      <c r="J79" s="26">
        <f t="shared" si="3"/>
        <v>0</v>
      </c>
      <c r="K79" s="26">
        <f t="shared" si="3"/>
        <v>0</v>
      </c>
      <c r="L79" s="26">
        <f t="shared" si="3"/>
        <v>0</v>
      </c>
      <c r="M79" s="26">
        <f t="shared" si="3"/>
        <v>0</v>
      </c>
      <c r="N79" s="26">
        <f t="shared" si="3"/>
        <v>0</v>
      </c>
      <c r="O79" s="26">
        <f t="shared" si="3"/>
        <v>0</v>
      </c>
      <c r="P79" s="27" t="e">
        <f ca="1">XIRR(D17:D77,B17:B77)</f>
        <v>#NUM!</v>
      </c>
      <c r="Q79" s="28">
        <f>SUM(E79:O79)</f>
        <v>0</v>
      </c>
    </row>
    <row r="80" spans="2:17" x14ac:dyDescent="0.3">
      <c r="B80" s="12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x14ac:dyDescent="0.3">
      <c r="B81" s="12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2:17" x14ac:dyDescent="0.3">
      <c r="B82" s="12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</sheetData>
  <sheetProtection algorithmName="SHA-512" hashValue="o2BW1+xnOPIFeQeTfjWzOoiL3W2ID8DIWZ2sJ5bLGaQDaL032pYoJc1KvBj5wJt2FuT50T3Ceg1P47G4nqOyFw==" saltValue="D78FesCIQlIuqj/c5ZQVfg==" spinCount="100000" sheet="1" objects="1" scenarios="1"/>
  <mergeCells count="20">
    <mergeCell ref="K14:O14"/>
    <mergeCell ref="P12:P15"/>
    <mergeCell ref="Q12:Q15"/>
    <mergeCell ref="B12:B15"/>
    <mergeCell ref="C12:C15"/>
    <mergeCell ref="D12:D15"/>
    <mergeCell ref="E13:E15"/>
    <mergeCell ref="F13:F15"/>
    <mergeCell ref="E12:O12"/>
    <mergeCell ref="G13:O13"/>
    <mergeCell ref="G14:H14"/>
    <mergeCell ref="I14:J14"/>
    <mergeCell ref="B10:C10"/>
    <mergeCell ref="F6:G6"/>
    <mergeCell ref="F8:G8"/>
    <mergeCell ref="F10:G10"/>
    <mergeCell ref="B2:F2"/>
    <mergeCell ref="B4:D4"/>
    <mergeCell ref="B6:C6"/>
    <mergeCell ref="B8:C8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АНУІТЕТ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2021-11-01T00:58:58Z</cp:lastPrinted>
  <dcterms:created xsi:type="dcterms:W3CDTF">2021-10-29T17:33:01Z</dcterms:created>
  <dcterms:modified xsi:type="dcterms:W3CDTF">2021-11-01T14:12:51Z</dcterms:modified>
</cp:coreProperties>
</file>